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3.xml" ContentType="application/vnd.ms-excel.controlproperti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tabRatio="907" firstSheet="1" activeTab="1"/>
  </bookViews>
  <sheets>
    <sheet name="Index" sheetId="42" state="hidden" r:id="rId1"/>
    <sheet name="Anx-I" sheetId="3" r:id="rId2"/>
    <sheet name="102(a)" sheetId="39" state="hidden" r:id="rId3"/>
    <sheet name="102(b" sheetId="66" state="hidden" r:id="rId4"/>
    <sheet name="102(b)" sheetId="47" state="hidden" r:id="rId5"/>
    <sheet name="Anx II - III" sheetId="25" r:id="rId6"/>
    <sheet name="Anx IV" sheetId="2" r:id="rId7"/>
    <sheet name="Anx V" sheetId="48" r:id="rId8"/>
    <sheet name="Departmental Budget" sheetId="72" r:id="rId9"/>
    <sheet name="School Anx VI" sheetId="58" r:id="rId10"/>
    <sheet name="106" sheetId="67" state="hidden" r:id="rId11"/>
    <sheet name="106(a)" sheetId="68" state="hidden" r:id="rId12"/>
    <sheet name="106(b)School" sheetId="69" state="hidden" r:id="rId13"/>
    <sheet name="105(a)" sheetId="46" state="hidden" r:id="rId14"/>
    <sheet name="107" sheetId="38" state="hidden" r:id="rId15"/>
    <sheet name="107 (a)" sheetId="49" state="hidden" r:id="rId16"/>
    <sheet name="107(b)" sheetId="34" state="hidden" r:id="rId17"/>
    <sheet name="107 (c)" sheetId="64" state="hidden" r:id="rId18"/>
    <sheet name="107(d)" sheetId="65" state="hidden" r:id="rId19"/>
    <sheet name="107(e)" sheetId="36" state="hidden" r:id="rId20"/>
    <sheet name="108" sheetId="44" state="hidden" r:id="rId21"/>
    <sheet name="109" sheetId="18" state="hidden" r:id="rId22"/>
    <sheet name="110" sheetId="19" state="hidden" r:id="rId23"/>
    <sheet name="111" sheetId="22" state="hidden" r:id="rId24"/>
    <sheet name="112" sheetId="70" state="hidden" r:id="rId25"/>
    <sheet name="113" sheetId="71" state="hidden" r:id="rId26"/>
    <sheet name="Subject List" sheetId="57" state="hidden" r:id="rId27"/>
    <sheet name="PQF" sheetId="51" state="hidden" r:id="rId28"/>
  </sheets>
  <externalReferences>
    <externalReference r:id="rId29"/>
  </externalReferences>
  <definedNames>
    <definedName name="_xlnm.Print_Area" localSheetId="2">'102(a)'!$A$1:$D$59</definedName>
    <definedName name="_xlnm.Print_Area" localSheetId="4">'102(b)'!$A$1:$K$51</definedName>
    <definedName name="_xlnm.Print_Area" localSheetId="13">'105(a)'!$A$1:$F$51</definedName>
    <definedName name="_xlnm.Print_Area" localSheetId="10">'106'!$A$1:$K$46</definedName>
    <definedName name="_xlnm.Print_Area" localSheetId="11">'106(a)'!$A$1:$Q$41</definedName>
    <definedName name="_xlnm.Print_Area" localSheetId="12">'106(b)School'!$A$1:$Q$41</definedName>
    <definedName name="_xlnm.Print_Area" localSheetId="14">'107'!$A$1:$M$167</definedName>
    <definedName name="_xlnm.Print_Area" localSheetId="15">'107 (a)'!$A$1:$Z$128</definedName>
    <definedName name="_xlnm.Print_Area" localSheetId="17">'107 (c)'!$A$1:$Z$128</definedName>
    <definedName name="_xlnm.Print_Area" localSheetId="16">'107(b)'!$A$1:$X$128</definedName>
    <definedName name="_xlnm.Print_Area" localSheetId="18">'107(d)'!$A$1:$X$128</definedName>
    <definedName name="_xlnm.Print_Area" localSheetId="19">'107(e)'!$A$1:$J$49</definedName>
    <definedName name="_xlnm.Print_Area" localSheetId="20">'108'!$A$1:$I$43</definedName>
    <definedName name="_xlnm.Print_Area" localSheetId="21">'109'!$A$1:$H$69</definedName>
    <definedName name="_xlnm.Print_Area" localSheetId="22">'110'!$A$1:$E$46</definedName>
    <definedName name="_xlnm.Print_Area" localSheetId="23">'111'!$A$1:$I$157</definedName>
    <definedName name="_xlnm.Print_Area" localSheetId="24">'112'!$A$1:$Y$46</definedName>
    <definedName name="_xlnm.Print_Area" localSheetId="25">'113'!$A$1:$Y$46</definedName>
    <definedName name="_xlnm.Print_Area" localSheetId="5">'Anx II - III'!$A$1:$C$87</definedName>
    <definedName name="_xlnm.Print_Area" localSheetId="6">'Anx IV'!$A$1:$C$74</definedName>
    <definedName name="_xlnm.Print_Area" localSheetId="7">'Anx V'!$A$1:$C$182</definedName>
    <definedName name="_xlnm.Print_Area" localSheetId="1">'Anx-I'!$A$1:$C$79</definedName>
    <definedName name="_xlnm.Print_Area" localSheetId="8">'Departmental Budget'!$A$1:$K$72</definedName>
    <definedName name="_xlnm.Print_Area" localSheetId="0">Index!$A$1:$C$36</definedName>
    <definedName name="_xlnm.Print_Area" localSheetId="26">'Subject List'!$A$1:$E$71</definedName>
    <definedName name="_xlnm.Print_Titles" localSheetId="4">'102(b)'!$11:$12</definedName>
    <definedName name="_xlnm.Print_Titles" localSheetId="13">'105(a)'!$7:$9</definedName>
    <definedName name="_xlnm.Print_Titles" localSheetId="11">'106(a)'!$7:$9</definedName>
    <definedName name="_xlnm.Print_Titles" localSheetId="12">'106(b)School'!$7:$9</definedName>
    <definedName name="_xlnm.Print_Titles" localSheetId="14">'107'!$6:$8</definedName>
    <definedName name="_xlnm.Print_Titles" localSheetId="15">'107 (a)'!$5:$8</definedName>
    <definedName name="_xlnm.Print_Titles" localSheetId="17">'107 (c)'!$5:$8</definedName>
    <definedName name="_xlnm.Print_Titles" localSheetId="16">'107(b)'!$6:$9</definedName>
    <definedName name="_xlnm.Print_Titles" localSheetId="18">'107(d)'!$6:$9</definedName>
    <definedName name="_xlnm.Print_Titles" localSheetId="19">'107(e)'!$6:$9</definedName>
    <definedName name="_xlnm.Print_Titles" localSheetId="24">'112'!$5:$10</definedName>
    <definedName name="_xlnm.Print_Titles" localSheetId="25">'113'!$5:$10</definedName>
    <definedName name="_xlnm.Print_Titles" localSheetId="5">'Anx II - III'!$5:$7</definedName>
    <definedName name="_xlnm.Print_Titles" localSheetId="6">'Anx IV'!$5:$7</definedName>
    <definedName name="_xlnm.Print_Titles" localSheetId="7">'Anx V'!$5:$7</definedName>
    <definedName name="_xlnm.Print_Titles" localSheetId="8">'Departmental Budget'!$3:$3</definedName>
    <definedName name="_xlnm.Print_Titles" localSheetId="0">Index!$4:$4</definedName>
    <definedName name="_xlnm.Print_Titles" localSheetId="26">'Subject List'!$3:$3</definedName>
  </definedNames>
  <calcPr calcId="125725"/>
</workbook>
</file>

<file path=xl/calcChain.xml><?xml version="1.0" encoding="utf-8"?>
<calcChain xmlns="http://schemas.openxmlformats.org/spreadsheetml/2006/main">
  <c r="F20" i="48"/>
  <c r="F19"/>
  <c r="F18"/>
  <c r="F17"/>
  <c r="F16"/>
  <c r="F15"/>
  <c r="F14"/>
  <c r="F13"/>
  <c r="L48" i="2" l="1"/>
  <c r="K48"/>
  <c r="J42"/>
  <c r="H45"/>
  <c r="H42"/>
  <c r="H26"/>
  <c r="G179" i="48" l="1"/>
  <c r="G177"/>
  <c r="G176"/>
  <c r="G174"/>
  <c r="G172"/>
  <c r="G171"/>
  <c r="G169"/>
  <c r="G168"/>
  <c r="G167"/>
  <c r="G165"/>
  <c r="G164"/>
  <c r="G163"/>
  <c r="G162"/>
  <c r="G160"/>
  <c r="G159"/>
  <c r="G158"/>
  <c r="G157"/>
  <c r="G156"/>
  <c r="G155"/>
  <c r="G154"/>
  <c r="G149"/>
  <c r="G148"/>
  <c r="G146"/>
  <c r="G145"/>
  <c r="G144"/>
  <c r="G143"/>
  <c r="G136"/>
  <c r="G135"/>
  <c r="G134"/>
  <c r="G132"/>
  <c r="G130"/>
  <c r="G129"/>
  <c r="G127"/>
  <c r="G119"/>
  <c r="G117"/>
  <c r="G116"/>
  <c r="G114"/>
  <c r="G113"/>
  <c r="G112"/>
  <c r="G107"/>
  <c r="G106"/>
  <c r="G104"/>
  <c r="G98"/>
  <c r="G97"/>
  <c r="G96"/>
  <c r="G95"/>
  <c r="G94"/>
  <c r="G93"/>
  <c r="G92"/>
  <c r="G84"/>
  <c r="G76"/>
  <c r="G69"/>
  <c r="G68"/>
  <c r="G66"/>
  <c r="G62"/>
  <c r="G58"/>
  <c r="G57"/>
  <c r="G55"/>
  <c r="G53"/>
  <c r="G52"/>
  <c r="G51"/>
  <c r="G49"/>
  <c r="G48"/>
  <c r="G47"/>
  <c r="G46"/>
  <c r="G44"/>
  <c r="G43"/>
  <c r="G41"/>
  <c r="G40"/>
  <c r="G39"/>
  <c r="G38"/>
  <c r="G37"/>
  <c r="G36"/>
  <c r="G29"/>
  <c r="G28"/>
  <c r="G26"/>
  <c r="G23"/>
  <c r="G21"/>
  <c r="G19"/>
  <c r="G18"/>
  <c r="G17"/>
  <c r="G16"/>
  <c r="G14"/>
  <c r="G67" l="1"/>
  <c r="H48" i="2" l="1"/>
  <c r="H72" i="72" l="1"/>
  <c r="K71"/>
  <c r="J70"/>
  <c r="J72" s="1"/>
  <c r="I70"/>
  <c r="I72" s="1"/>
  <c r="H70"/>
  <c r="G70"/>
  <c r="G72" s="1"/>
  <c r="F70"/>
  <c r="F72" s="1"/>
  <c r="E70"/>
  <c r="E72" s="1"/>
  <c r="D70"/>
  <c r="D72" s="1"/>
  <c r="C70"/>
  <c r="C72" s="1"/>
  <c r="K68"/>
  <c r="K63"/>
  <c r="K62"/>
  <c r="K60"/>
  <c r="K59"/>
  <c r="K56"/>
  <c r="K55"/>
  <c r="K54"/>
  <c r="K53"/>
  <c r="K52"/>
  <c r="K51"/>
  <c r="K50"/>
  <c r="K49"/>
  <c r="K48"/>
  <c r="K47"/>
  <c r="K46"/>
  <c r="K45"/>
  <c r="K44"/>
  <c r="K42"/>
  <c r="K41"/>
  <c r="K40"/>
  <c r="K39"/>
  <c r="K38"/>
  <c r="K36"/>
  <c r="K35"/>
  <c r="K34"/>
  <c r="K33"/>
  <c r="K32"/>
  <c r="K30"/>
  <c r="K29"/>
  <c r="K28"/>
  <c r="K27"/>
  <c r="K26"/>
  <c r="K25"/>
  <c r="K24"/>
  <c r="K23"/>
  <c r="K22"/>
  <c r="K21"/>
  <c r="K20"/>
  <c r="K18"/>
  <c r="K17"/>
  <c r="K16"/>
  <c r="K15"/>
  <c r="K14"/>
  <c r="K13"/>
  <c r="K12"/>
  <c r="K10"/>
  <c r="K9"/>
  <c r="K8"/>
  <c r="K7"/>
  <c r="K6"/>
  <c r="K5"/>
  <c r="K70" l="1"/>
  <c r="K72" s="1"/>
  <c r="F33" i="46" l="1"/>
  <c r="F32"/>
  <c r="F31"/>
  <c r="F30"/>
  <c r="F28"/>
  <c r="F27"/>
  <c r="F26"/>
  <c r="E34"/>
  <c r="D34"/>
  <c r="C34"/>
  <c r="F34" l="1"/>
  <c r="I24" i="39"/>
  <c r="G62" i="71" l="1"/>
  <c r="G61"/>
  <c r="G60"/>
  <c r="H66" i="70"/>
  <c r="G63"/>
  <c r="H63"/>
  <c r="H62"/>
  <c r="G53"/>
  <c r="G64"/>
  <c r="H64" s="1"/>
  <c r="Y57"/>
  <c r="C50"/>
  <c r="D50"/>
  <c r="E50"/>
  <c r="F50"/>
  <c r="H50"/>
  <c r="I50"/>
  <c r="J50"/>
  <c r="K50"/>
  <c r="K53" s="1"/>
  <c r="L50"/>
  <c r="M50"/>
  <c r="N50"/>
  <c r="O50"/>
  <c r="O53" s="1"/>
  <c r="Q50"/>
  <c r="R50"/>
  <c r="S50"/>
  <c r="S53" s="1"/>
  <c r="T50"/>
  <c r="U50"/>
  <c r="V50"/>
  <c r="W50"/>
  <c r="X50"/>
  <c r="C51"/>
  <c r="D51"/>
  <c r="E51"/>
  <c r="E53" s="1"/>
  <c r="F51"/>
  <c r="H51"/>
  <c r="I51"/>
  <c r="J51"/>
  <c r="K51"/>
  <c r="L51"/>
  <c r="M51"/>
  <c r="N51"/>
  <c r="O51"/>
  <c r="Q51"/>
  <c r="R51"/>
  <c r="S51"/>
  <c r="T51"/>
  <c r="U51"/>
  <c r="V51"/>
  <c r="W51"/>
  <c r="X51"/>
  <c r="C52"/>
  <c r="D52"/>
  <c r="E52"/>
  <c r="F52"/>
  <c r="H52"/>
  <c r="I52"/>
  <c r="J52"/>
  <c r="K52"/>
  <c r="L52"/>
  <c r="M52"/>
  <c r="N52"/>
  <c r="O52"/>
  <c r="R52"/>
  <c r="S52"/>
  <c r="T52"/>
  <c r="U52"/>
  <c r="V52"/>
  <c r="W52"/>
  <c r="X52"/>
  <c r="C53"/>
  <c r="W53"/>
  <c r="G54"/>
  <c r="G66" s="1"/>
  <c r="G55"/>
  <c r="G56"/>
  <c r="F53" l="1"/>
  <c r="D53"/>
  <c r="G65"/>
  <c r="H65" s="1"/>
  <c r="H67" s="1"/>
  <c r="U53"/>
  <c r="M53"/>
  <c r="V53"/>
  <c r="R53"/>
  <c r="N53"/>
  <c r="J53"/>
  <c r="X53"/>
  <c r="T53"/>
  <c r="L53"/>
  <c r="H53"/>
  <c r="G63" i="71"/>
  <c r="I53" i="70"/>
  <c r="G60"/>
  <c r="Z55" l="1"/>
  <c r="Z56"/>
  <c r="G57"/>
  <c r="Z54" l="1"/>
  <c r="J74" i="2" l="1"/>
  <c r="K74"/>
  <c r="G58" i="71"/>
  <c r="G57"/>
  <c r="G56"/>
  <c r="G59" s="1"/>
  <c r="X54"/>
  <c r="X52"/>
  <c r="W52"/>
  <c r="V52"/>
  <c r="U52"/>
  <c r="T52"/>
  <c r="S52"/>
  <c r="R52"/>
  <c r="O52"/>
  <c r="N52"/>
  <c r="M52"/>
  <c r="L52"/>
  <c r="K52"/>
  <c r="J52"/>
  <c r="I52"/>
  <c r="H52"/>
  <c r="F52"/>
  <c r="E52"/>
  <c r="D52"/>
  <c r="C52"/>
  <c r="X51"/>
  <c r="W51"/>
  <c r="V51"/>
  <c r="U51"/>
  <c r="T51"/>
  <c r="S51"/>
  <c r="R51"/>
  <c r="Q51"/>
  <c r="O51"/>
  <c r="N51"/>
  <c r="M51"/>
  <c r="L51"/>
  <c r="K51"/>
  <c r="J51"/>
  <c r="I51"/>
  <c r="H51"/>
  <c r="F51"/>
  <c r="E51"/>
  <c r="D51"/>
  <c r="C51"/>
  <c r="X50"/>
  <c r="X53" s="1"/>
  <c r="W50"/>
  <c r="V50"/>
  <c r="U50"/>
  <c r="T50"/>
  <c r="T53" s="1"/>
  <c r="S50"/>
  <c r="R50"/>
  <c r="Q50"/>
  <c r="O50"/>
  <c r="N50"/>
  <c r="M50"/>
  <c r="L50"/>
  <c r="L53" s="1"/>
  <c r="K50"/>
  <c r="J50"/>
  <c r="I50"/>
  <c r="H50"/>
  <c r="H53" s="1"/>
  <c r="G53"/>
  <c r="G64" s="1"/>
  <c r="F50"/>
  <c r="E50"/>
  <c r="D50"/>
  <c r="D53" s="1"/>
  <c r="C50"/>
  <c r="K72" i="2" l="1"/>
  <c r="I53" i="71"/>
  <c r="F53"/>
  <c r="J53"/>
  <c r="N53"/>
  <c r="R53"/>
  <c r="V53"/>
  <c r="E53"/>
  <c r="M53"/>
  <c r="U53"/>
  <c r="C53"/>
  <c r="K53"/>
  <c r="O53"/>
  <c r="S53"/>
  <c r="W53"/>
  <c r="AA47"/>
  <c r="W44"/>
  <c r="V44"/>
  <c r="U44"/>
  <c r="T44"/>
  <c r="S44"/>
  <c r="R44"/>
  <c r="O44"/>
  <c r="N44"/>
  <c r="M44"/>
  <c r="L44"/>
  <c r="K44"/>
  <c r="J44"/>
  <c r="I44"/>
  <c r="H44"/>
  <c r="G44"/>
  <c r="F44"/>
  <c r="E44"/>
  <c r="D44"/>
  <c r="C44"/>
  <c r="P43"/>
  <c r="Q43" s="1"/>
  <c r="P42"/>
  <c r="P44" s="1"/>
  <c r="W40"/>
  <c r="V40"/>
  <c r="U40"/>
  <c r="T40"/>
  <c r="S40"/>
  <c r="R40"/>
  <c r="O40"/>
  <c r="N40"/>
  <c r="M40"/>
  <c r="L40"/>
  <c r="K40"/>
  <c r="J40"/>
  <c r="I40"/>
  <c r="H40"/>
  <c r="G40"/>
  <c r="F40"/>
  <c r="E40"/>
  <c r="D40"/>
  <c r="C40"/>
  <c r="P39"/>
  <c r="Q39" s="1"/>
  <c r="P38"/>
  <c r="P40" s="1"/>
  <c r="W36"/>
  <c r="V36"/>
  <c r="U36"/>
  <c r="T36"/>
  <c r="S36"/>
  <c r="R36"/>
  <c r="O36"/>
  <c r="N36"/>
  <c r="M36"/>
  <c r="L36"/>
  <c r="K36"/>
  <c r="J36"/>
  <c r="I36"/>
  <c r="H36"/>
  <c r="G36"/>
  <c r="F36"/>
  <c r="E36"/>
  <c r="D36"/>
  <c r="C36"/>
  <c r="P35"/>
  <c r="P36" s="1"/>
  <c r="Y34"/>
  <c r="P34"/>
  <c r="W32"/>
  <c r="V32"/>
  <c r="U32"/>
  <c r="T32"/>
  <c r="S32"/>
  <c r="R32"/>
  <c r="O32"/>
  <c r="N32"/>
  <c r="M32"/>
  <c r="L32"/>
  <c r="K32"/>
  <c r="J32"/>
  <c r="I32"/>
  <c r="H32"/>
  <c r="G32"/>
  <c r="F32"/>
  <c r="E32"/>
  <c r="D32"/>
  <c r="C32"/>
  <c r="P31"/>
  <c r="P30"/>
  <c r="Y30" s="1"/>
  <c r="W28"/>
  <c r="V28"/>
  <c r="U28"/>
  <c r="T28"/>
  <c r="S28"/>
  <c r="R28"/>
  <c r="O28"/>
  <c r="N28"/>
  <c r="M28"/>
  <c r="L28"/>
  <c r="K28"/>
  <c r="J28"/>
  <c r="I28"/>
  <c r="H28"/>
  <c r="G28"/>
  <c r="F28"/>
  <c r="E28"/>
  <c r="D28"/>
  <c r="C28"/>
  <c r="Y27"/>
  <c r="Q27"/>
  <c r="Q28" s="1"/>
  <c r="P27"/>
  <c r="P26"/>
  <c r="P28" s="1"/>
  <c r="W24"/>
  <c r="V24"/>
  <c r="U24"/>
  <c r="T24"/>
  <c r="S24"/>
  <c r="R24"/>
  <c r="O24"/>
  <c r="N24"/>
  <c r="M24"/>
  <c r="L24"/>
  <c r="K24"/>
  <c r="J24"/>
  <c r="I24"/>
  <c r="H24"/>
  <c r="G24"/>
  <c r="F24"/>
  <c r="E24"/>
  <c r="D24"/>
  <c r="C24"/>
  <c r="P23"/>
  <c r="Q23" s="1"/>
  <c r="P22"/>
  <c r="P24" s="1"/>
  <c r="W20"/>
  <c r="V20"/>
  <c r="U20"/>
  <c r="T20"/>
  <c r="S20"/>
  <c r="R20"/>
  <c r="O20"/>
  <c r="N20"/>
  <c r="M20"/>
  <c r="L20"/>
  <c r="K20"/>
  <c r="J20"/>
  <c r="I20"/>
  <c r="H20"/>
  <c r="G20"/>
  <c r="F20"/>
  <c r="E20"/>
  <c r="D20"/>
  <c r="C20"/>
  <c r="P19"/>
  <c r="Y18"/>
  <c r="P18"/>
  <c r="X16"/>
  <c r="W16"/>
  <c r="W45" s="1"/>
  <c r="W54" s="1"/>
  <c r="V16"/>
  <c r="U16"/>
  <c r="T16"/>
  <c r="S16"/>
  <c r="S45" s="1"/>
  <c r="S54" s="1"/>
  <c r="R16"/>
  <c r="Q16"/>
  <c r="O16"/>
  <c r="O45" s="1"/>
  <c r="O54" s="1"/>
  <c r="N16"/>
  <c r="N45" s="1"/>
  <c r="N54" s="1"/>
  <c r="M16"/>
  <c r="L16"/>
  <c r="K16"/>
  <c r="K45" s="1"/>
  <c r="K54" s="1"/>
  <c r="J16"/>
  <c r="J45" s="1"/>
  <c r="J54" s="1"/>
  <c r="I16"/>
  <c r="H16"/>
  <c r="G16"/>
  <c r="G45" s="1"/>
  <c r="G54" s="1"/>
  <c r="F16"/>
  <c r="F45" s="1"/>
  <c r="F54" s="1"/>
  <c r="E16"/>
  <c r="D16"/>
  <c r="C16"/>
  <c r="C45" s="1"/>
  <c r="C54" s="1"/>
  <c r="P14"/>
  <c r="P13"/>
  <c r="W44" i="70"/>
  <c r="V44"/>
  <c r="U44"/>
  <c r="T44"/>
  <c r="S44"/>
  <c r="R44"/>
  <c r="O44"/>
  <c r="N44"/>
  <c r="M44"/>
  <c r="L44"/>
  <c r="K44"/>
  <c r="J44"/>
  <c r="I44"/>
  <c r="H44"/>
  <c r="G44"/>
  <c r="F44"/>
  <c r="E44"/>
  <c r="D44"/>
  <c r="C44"/>
  <c r="P43"/>
  <c r="Q43" s="1"/>
  <c r="Q44" s="1"/>
  <c r="P42"/>
  <c r="P44" s="1"/>
  <c r="W40"/>
  <c r="V40"/>
  <c r="U40"/>
  <c r="T40"/>
  <c r="S40"/>
  <c r="R40"/>
  <c r="O40"/>
  <c r="N40"/>
  <c r="M40"/>
  <c r="L40"/>
  <c r="K40"/>
  <c r="J40"/>
  <c r="I40"/>
  <c r="H40"/>
  <c r="G40"/>
  <c r="F40"/>
  <c r="E40"/>
  <c r="D40"/>
  <c r="C40"/>
  <c r="P39"/>
  <c r="P40" s="1"/>
  <c r="Y38"/>
  <c r="P38"/>
  <c r="W36"/>
  <c r="V36"/>
  <c r="U36"/>
  <c r="T36"/>
  <c r="S36"/>
  <c r="R36"/>
  <c r="O36"/>
  <c r="N36"/>
  <c r="M36"/>
  <c r="L36"/>
  <c r="K36"/>
  <c r="J36"/>
  <c r="I36"/>
  <c r="H36"/>
  <c r="G36"/>
  <c r="F36"/>
  <c r="E36"/>
  <c r="D36"/>
  <c r="C36"/>
  <c r="P35"/>
  <c r="P34"/>
  <c r="Y34" s="1"/>
  <c r="W32"/>
  <c r="V32"/>
  <c r="U32"/>
  <c r="T32"/>
  <c r="S32"/>
  <c r="R32"/>
  <c r="O32"/>
  <c r="N32"/>
  <c r="M32"/>
  <c r="L32"/>
  <c r="K32"/>
  <c r="J32"/>
  <c r="I32"/>
  <c r="H32"/>
  <c r="G32"/>
  <c r="F32"/>
  <c r="E32"/>
  <c r="D32"/>
  <c r="C32"/>
  <c r="P31"/>
  <c r="Q31" s="1"/>
  <c r="P30"/>
  <c r="Y30" s="1"/>
  <c r="W28"/>
  <c r="V28"/>
  <c r="U28"/>
  <c r="T28"/>
  <c r="S28"/>
  <c r="R28"/>
  <c r="O28"/>
  <c r="N28"/>
  <c r="M28"/>
  <c r="L28"/>
  <c r="K28"/>
  <c r="J28"/>
  <c r="I28"/>
  <c r="H28"/>
  <c r="G28"/>
  <c r="F28"/>
  <c r="E28"/>
  <c r="D28"/>
  <c r="C28"/>
  <c r="P27"/>
  <c r="Q27" s="1"/>
  <c r="Q28" s="1"/>
  <c r="P26"/>
  <c r="W24"/>
  <c r="V24"/>
  <c r="U24"/>
  <c r="T24"/>
  <c r="S24"/>
  <c r="R24"/>
  <c r="O24"/>
  <c r="N24"/>
  <c r="M24"/>
  <c r="L24"/>
  <c r="K24"/>
  <c r="J24"/>
  <c r="I24"/>
  <c r="H24"/>
  <c r="G24"/>
  <c r="F24"/>
  <c r="E24"/>
  <c r="D24"/>
  <c r="C24"/>
  <c r="P23"/>
  <c r="P22"/>
  <c r="Y22" s="1"/>
  <c r="W20"/>
  <c r="V20"/>
  <c r="U20"/>
  <c r="T20"/>
  <c r="S20"/>
  <c r="R20"/>
  <c r="O20"/>
  <c r="N20"/>
  <c r="M20"/>
  <c r="L20"/>
  <c r="K20"/>
  <c r="J20"/>
  <c r="I20"/>
  <c r="H20"/>
  <c r="G20"/>
  <c r="F20"/>
  <c r="E20"/>
  <c r="D20"/>
  <c r="C20"/>
  <c r="P19"/>
  <c r="Y18"/>
  <c r="P18"/>
  <c r="X16"/>
  <c r="W16"/>
  <c r="V16"/>
  <c r="V45" s="1"/>
  <c r="U16"/>
  <c r="T16"/>
  <c r="S16"/>
  <c r="R16"/>
  <c r="R45" s="1"/>
  <c r="Q16"/>
  <c r="O16"/>
  <c r="N16"/>
  <c r="M16"/>
  <c r="M45" s="1"/>
  <c r="L16"/>
  <c r="K16"/>
  <c r="J16"/>
  <c r="I16"/>
  <c r="I45" s="1"/>
  <c r="H16"/>
  <c r="G16"/>
  <c r="F16"/>
  <c r="E16"/>
  <c r="E45" s="1"/>
  <c r="D16"/>
  <c r="C16"/>
  <c r="P14"/>
  <c r="P50" s="1"/>
  <c r="P13"/>
  <c r="O34" i="69"/>
  <c r="J34"/>
  <c r="J35" s="1"/>
  <c r="I34"/>
  <c r="I35" s="1"/>
  <c r="H34"/>
  <c r="G34"/>
  <c r="F34"/>
  <c r="F35" s="1"/>
  <c r="E34"/>
  <c r="E35" s="1"/>
  <c r="D34"/>
  <c r="C34"/>
  <c r="B34"/>
  <c r="B35" s="1"/>
  <c r="N32"/>
  <c r="M32"/>
  <c r="L32"/>
  <c r="Q32" s="1"/>
  <c r="K32"/>
  <c r="P32" s="1"/>
  <c r="N31"/>
  <c r="M31"/>
  <c r="L31"/>
  <c r="Q31" s="1"/>
  <c r="K31"/>
  <c r="P31" s="1"/>
  <c r="N30"/>
  <c r="M30"/>
  <c r="L30"/>
  <c r="Q30" s="1"/>
  <c r="K30"/>
  <c r="K34" s="1"/>
  <c r="N29"/>
  <c r="N34" s="1"/>
  <c r="M29"/>
  <c r="M34" s="1"/>
  <c r="L29"/>
  <c r="Q29" s="1"/>
  <c r="Q34" s="1"/>
  <c r="K29"/>
  <c r="P29" s="1"/>
  <c r="O28"/>
  <c r="J28"/>
  <c r="I28"/>
  <c r="H28"/>
  <c r="G28"/>
  <c r="F28"/>
  <c r="E28"/>
  <c r="D28"/>
  <c r="C28"/>
  <c r="B28"/>
  <c r="N27"/>
  <c r="M27"/>
  <c r="L27"/>
  <c r="Q27" s="1"/>
  <c r="K27"/>
  <c r="P27" s="1"/>
  <c r="N26"/>
  <c r="M26"/>
  <c r="L26"/>
  <c r="Q26" s="1"/>
  <c r="K26"/>
  <c r="P26" s="1"/>
  <c r="N25"/>
  <c r="M25"/>
  <c r="L25"/>
  <c r="Q25" s="1"/>
  <c r="K25"/>
  <c r="P25" s="1"/>
  <c r="M23"/>
  <c r="L23"/>
  <c r="Q23" s="1"/>
  <c r="K23"/>
  <c r="P23" s="1"/>
  <c r="N22"/>
  <c r="M22"/>
  <c r="L22"/>
  <c r="Q22" s="1"/>
  <c r="K22"/>
  <c r="P22" s="1"/>
  <c r="N21"/>
  <c r="M21"/>
  <c r="L21"/>
  <c r="Q21" s="1"/>
  <c r="K21"/>
  <c r="P21" s="1"/>
  <c r="N19"/>
  <c r="M19"/>
  <c r="L19"/>
  <c r="Q19" s="1"/>
  <c r="K19"/>
  <c r="P19" s="1"/>
  <c r="N18"/>
  <c r="M18"/>
  <c r="L18"/>
  <c r="K18"/>
  <c r="N17"/>
  <c r="N28" s="1"/>
  <c r="M17"/>
  <c r="L17"/>
  <c r="Q17" s="1"/>
  <c r="K17"/>
  <c r="P17" s="1"/>
  <c r="O16"/>
  <c r="J16"/>
  <c r="I16"/>
  <c r="H16"/>
  <c r="G16"/>
  <c r="F16"/>
  <c r="E16"/>
  <c r="D16"/>
  <c r="C16"/>
  <c r="B16"/>
  <c r="N15"/>
  <c r="M15"/>
  <c r="L15"/>
  <c r="Q15" s="1"/>
  <c r="K15"/>
  <c r="P15" s="1"/>
  <c r="N14"/>
  <c r="M14"/>
  <c r="L14"/>
  <c r="Q14" s="1"/>
  <c r="K14"/>
  <c r="P14" s="1"/>
  <c r="N13"/>
  <c r="M13"/>
  <c r="L13"/>
  <c r="Q13" s="1"/>
  <c r="K13"/>
  <c r="P13" s="1"/>
  <c r="N12"/>
  <c r="M12"/>
  <c r="L12"/>
  <c r="Q12" s="1"/>
  <c r="K12"/>
  <c r="P12" s="1"/>
  <c r="N10"/>
  <c r="N16" s="1"/>
  <c r="M10"/>
  <c r="L10"/>
  <c r="L16" s="1"/>
  <c r="K10"/>
  <c r="K16" s="1"/>
  <c r="O34" i="68"/>
  <c r="J34"/>
  <c r="J35" s="1"/>
  <c r="I34"/>
  <c r="H34"/>
  <c r="C27" i="39" s="1"/>
  <c r="G34" i="68"/>
  <c r="F34"/>
  <c r="F35" s="1"/>
  <c r="E34"/>
  <c r="D34"/>
  <c r="C34"/>
  <c r="B34"/>
  <c r="N32"/>
  <c r="M32"/>
  <c r="L32"/>
  <c r="Q32" s="1"/>
  <c r="K32"/>
  <c r="P32" s="1"/>
  <c r="N31"/>
  <c r="M31"/>
  <c r="L31"/>
  <c r="Q31" s="1"/>
  <c r="K31"/>
  <c r="P31" s="1"/>
  <c r="N30"/>
  <c r="M30"/>
  <c r="L30"/>
  <c r="Q30" s="1"/>
  <c r="K30"/>
  <c r="N29"/>
  <c r="M29"/>
  <c r="M34" s="1"/>
  <c r="L29"/>
  <c r="Q29" s="1"/>
  <c r="Q34" s="1"/>
  <c r="K29"/>
  <c r="P29" s="1"/>
  <c r="O28"/>
  <c r="J28"/>
  <c r="I28"/>
  <c r="H28"/>
  <c r="C26" i="39" s="1"/>
  <c r="G28" i="68"/>
  <c r="F28"/>
  <c r="E28"/>
  <c r="D28"/>
  <c r="C28"/>
  <c r="B28"/>
  <c r="B26" i="39" s="1"/>
  <c r="N27" i="68"/>
  <c r="M27"/>
  <c r="L27"/>
  <c r="Q27" s="1"/>
  <c r="K27"/>
  <c r="P27" s="1"/>
  <c r="N26"/>
  <c r="M26"/>
  <c r="L26"/>
  <c r="Q26" s="1"/>
  <c r="K26"/>
  <c r="P26" s="1"/>
  <c r="N25"/>
  <c r="M25"/>
  <c r="L25"/>
  <c r="Q25" s="1"/>
  <c r="K25"/>
  <c r="P25" s="1"/>
  <c r="N22"/>
  <c r="M22"/>
  <c r="L22"/>
  <c r="Q22" s="1"/>
  <c r="K22"/>
  <c r="P22" s="1"/>
  <c r="N21"/>
  <c r="M21"/>
  <c r="L21"/>
  <c r="Q21" s="1"/>
  <c r="K21"/>
  <c r="P21" s="1"/>
  <c r="N19"/>
  <c r="M19"/>
  <c r="L19"/>
  <c r="Q19" s="1"/>
  <c r="K19"/>
  <c r="P19" s="1"/>
  <c r="N18"/>
  <c r="M18"/>
  <c r="L18"/>
  <c r="Q18" s="1"/>
  <c r="K18"/>
  <c r="N17"/>
  <c r="M17"/>
  <c r="M28" s="1"/>
  <c r="L17"/>
  <c r="Q17" s="1"/>
  <c r="Q28" s="1"/>
  <c r="K17"/>
  <c r="P17" s="1"/>
  <c r="O16"/>
  <c r="J16"/>
  <c r="I16"/>
  <c r="H16"/>
  <c r="C25" i="39" s="1"/>
  <c r="G16" i="68"/>
  <c r="F16"/>
  <c r="E16"/>
  <c r="D16"/>
  <c r="C16"/>
  <c r="B16"/>
  <c r="B25" i="39" s="1"/>
  <c r="N15" i="68"/>
  <c r="M15"/>
  <c r="L15"/>
  <c r="Q15" s="1"/>
  <c r="K15"/>
  <c r="P15" s="1"/>
  <c r="N14"/>
  <c r="M14"/>
  <c r="L14"/>
  <c r="Q14" s="1"/>
  <c r="K14"/>
  <c r="P14" s="1"/>
  <c r="N13"/>
  <c r="M13"/>
  <c r="L13"/>
  <c r="Q13" s="1"/>
  <c r="K13"/>
  <c r="P13" s="1"/>
  <c r="N12"/>
  <c r="M12"/>
  <c r="L12"/>
  <c r="Q12" s="1"/>
  <c r="K12"/>
  <c r="P12" s="1"/>
  <c r="N10"/>
  <c r="N16" s="1"/>
  <c r="D25" i="39" s="1"/>
  <c r="M10" i="68"/>
  <c r="M16" s="1"/>
  <c r="L10"/>
  <c r="Q10" s="1"/>
  <c r="Q16" s="1"/>
  <c r="K10"/>
  <c r="P10" s="1"/>
  <c r="K46" i="67"/>
  <c r="I46"/>
  <c r="G46"/>
  <c r="F46"/>
  <c r="E46"/>
  <c r="D46"/>
  <c r="C46"/>
  <c r="J45"/>
  <c r="H45"/>
  <c r="H43"/>
  <c r="J43" s="1"/>
  <c r="J41"/>
  <c r="H41"/>
  <c r="H39"/>
  <c r="H46" s="1"/>
  <c r="G33"/>
  <c r="C23" i="39" s="1"/>
  <c r="F33" i="67"/>
  <c r="E33"/>
  <c r="C22" i="39" s="1"/>
  <c r="C33" i="67"/>
  <c r="J32"/>
  <c r="H32"/>
  <c r="K30"/>
  <c r="J30"/>
  <c r="H30"/>
  <c r="H28"/>
  <c r="J28" s="1"/>
  <c r="I26"/>
  <c r="I33" s="1"/>
  <c r="H26"/>
  <c r="H33" s="1"/>
  <c r="D26"/>
  <c r="D33" s="1"/>
  <c r="G20"/>
  <c r="F20"/>
  <c r="D23" i="39" s="1"/>
  <c r="E20" i="67"/>
  <c r="C20"/>
  <c r="K19"/>
  <c r="K32" s="1"/>
  <c r="J19"/>
  <c r="H19"/>
  <c r="K17"/>
  <c r="H17"/>
  <c r="J17" s="1"/>
  <c r="K15"/>
  <c r="K28" s="1"/>
  <c r="H15"/>
  <c r="J15" s="1"/>
  <c r="I13"/>
  <c r="I20" s="1"/>
  <c r="D13"/>
  <c r="H13" s="1"/>
  <c r="Q24" i="71" l="1"/>
  <c r="Y23"/>
  <c r="Q44"/>
  <c r="Y43"/>
  <c r="Q32" i="70"/>
  <c r="Y31"/>
  <c r="Q40" i="71"/>
  <c r="Y39"/>
  <c r="C35" i="68"/>
  <c r="O35"/>
  <c r="F45" i="70"/>
  <c r="N45"/>
  <c r="W45"/>
  <c r="Y32"/>
  <c r="K13" i="67"/>
  <c r="K20" s="1"/>
  <c r="D35" i="68"/>
  <c r="M28" i="69"/>
  <c r="C35"/>
  <c r="G35"/>
  <c r="O35"/>
  <c r="C45" i="70"/>
  <c r="G45"/>
  <c r="G58" s="1"/>
  <c r="G59" s="1"/>
  <c r="K45"/>
  <c r="O45"/>
  <c r="T45"/>
  <c r="P51" i="71"/>
  <c r="Y51" s="1"/>
  <c r="D45"/>
  <c r="D54" s="1"/>
  <c r="H45"/>
  <c r="H54" s="1"/>
  <c r="L45"/>
  <c r="L54" s="1"/>
  <c r="U45"/>
  <c r="U54" s="1"/>
  <c r="L16" i="68"/>
  <c r="B35"/>
  <c r="B27" i="39"/>
  <c r="M16" i="69"/>
  <c r="K28"/>
  <c r="Y50" i="70"/>
  <c r="P16" i="71"/>
  <c r="P50"/>
  <c r="P20"/>
  <c r="P52"/>
  <c r="J39" i="67"/>
  <c r="J46" s="1"/>
  <c r="C48"/>
  <c r="B22" i="39"/>
  <c r="G35" i="68"/>
  <c r="L28" i="69"/>
  <c r="K35"/>
  <c r="Y14" i="70"/>
  <c r="J45"/>
  <c r="S45"/>
  <c r="P52"/>
  <c r="T45" i="71"/>
  <c r="T54" s="1"/>
  <c r="Q19"/>
  <c r="Y26"/>
  <c r="Y28" s="1"/>
  <c r="Q35"/>
  <c r="Q36" s="1"/>
  <c r="Y42"/>
  <c r="Y44" s="1"/>
  <c r="B23" i="39"/>
  <c r="N34" i="68"/>
  <c r="D27" i="39" s="1"/>
  <c r="E35" i="68"/>
  <c r="I35"/>
  <c r="D35" i="69"/>
  <c r="H35"/>
  <c r="P16" i="70"/>
  <c r="P51"/>
  <c r="Y51" s="1"/>
  <c r="D45"/>
  <c r="H45"/>
  <c r="L45"/>
  <c r="U45"/>
  <c r="P24"/>
  <c r="P28"/>
  <c r="Y13" i="71"/>
  <c r="E45"/>
  <c r="E54" s="1"/>
  <c r="I45"/>
  <c r="I54" s="1"/>
  <c r="M45"/>
  <c r="M54" s="1"/>
  <c r="R45"/>
  <c r="R54" s="1"/>
  <c r="V45"/>
  <c r="V54" s="1"/>
  <c r="K34" i="68"/>
  <c r="N28"/>
  <c r="K28"/>
  <c r="P16"/>
  <c r="H35"/>
  <c r="Y14" i="71"/>
  <c r="Y19"/>
  <c r="Y22"/>
  <c r="Y24" s="1"/>
  <c r="Q31"/>
  <c r="Q32" s="1"/>
  <c r="Y35"/>
  <c r="Y36" s="1"/>
  <c r="Y38"/>
  <c r="Y40" s="1"/>
  <c r="P32"/>
  <c r="P45" s="1"/>
  <c r="P54" s="1"/>
  <c r="Q19" i="70"/>
  <c r="Y26"/>
  <c r="P32"/>
  <c r="Q35"/>
  <c r="Q36" s="1"/>
  <c r="Y42"/>
  <c r="Y13"/>
  <c r="P20"/>
  <c r="Q23"/>
  <c r="Q24" s="1"/>
  <c r="Y27"/>
  <c r="P36"/>
  <c r="Q39"/>
  <c r="Q40" s="1"/>
  <c r="Y43"/>
  <c r="N35" i="69"/>
  <c r="M35"/>
  <c r="Q10"/>
  <c r="Q16" s="1"/>
  <c r="Q18"/>
  <c r="Q28" s="1"/>
  <c r="P30"/>
  <c r="P34" s="1"/>
  <c r="L34"/>
  <c r="L35" s="1"/>
  <c r="P10"/>
  <c r="P16" s="1"/>
  <c r="P18"/>
  <c r="P28" s="1"/>
  <c r="M35" i="68"/>
  <c r="Q35"/>
  <c r="P18"/>
  <c r="P28" s="1"/>
  <c r="L28"/>
  <c r="P30"/>
  <c r="P34" s="1"/>
  <c r="L34"/>
  <c r="K16"/>
  <c r="H20" i="67"/>
  <c r="J13"/>
  <c r="J20" s="1"/>
  <c r="D20"/>
  <c r="D22" i="39" s="1"/>
  <c r="K26" i="67"/>
  <c r="K33" s="1"/>
  <c r="J26"/>
  <c r="J33" s="1"/>
  <c r="I68" i="2"/>
  <c r="P35" i="69" l="1"/>
  <c r="Q35"/>
  <c r="Y28" i="70"/>
  <c r="P53"/>
  <c r="Q20"/>
  <c r="Q45" s="1"/>
  <c r="Q52"/>
  <c r="Q53" s="1"/>
  <c r="Y31" i="71"/>
  <c r="Y32" s="1"/>
  <c r="P53"/>
  <c r="Y50"/>
  <c r="N35" i="68"/>
  <c r="D26" i="39"/>
  <c r="P45" i="70"/>
  <c r="Q20" i="71"/>
  <c r="Q45" s="1"/>
  <c r="Q54" s="1"/>
  <c r="Q52"/>
  <c r="Q53" s="1"/>
  <c r="Y52"/>
  <c r="K35" i="68"/>
  <c r="Y16" i="71"/>
  <c r="Y45" s="1"/>
  <c r="Y54" s="1"/>
  <c r="Y20"/>
  <c r="Y44" i="70"/>
  <c r="Y35"/>
  <c r="Y36" s="1"/>
  <c r="Y16"/>
  <c r="Y39"/>
  <c r="Y40" s="1"/>
  <c r="Y23"/>
  <c r="Y24" s="1"/>
  <c r="Y19"/>
  <c r="P35" i="68"/>
  <c r="L35"/>
  <c r="K68" i="2"/>
  <c r="K69"/>
  <c r="K70" l="1"/>
  <c r="Y53" i="71"/>
  <c r="Y52" i="70"/>
  <c r="Y20"/>
  <c r="Y45" s="1"/>
  <c r="H29" i="2"/>
  <c r="Y53" i="70" l="1"/>
  <c r="H54" s="1"/>
  <c r="F143" i="48" l="1"/>
  <c r="F42" i="66" l="1"/>
  <c r="E42"/>
  <c r="D42"/>
  <c r="G16"/>
  <c r="H16" s="1"/>
  <c r="G15"/>
  <c r="G14"/>
  <c r="H9"/>
  <c r="H8"/>
  <c r="H7"/>
  <c r="H16" i="47"/>
  <c r="G16"/>
  <c r="G15"/>
  <c r="G14"/>
  <c r="E15" i="19"/>
  <c r="B53" i="39" l="1"/>
  <c r="C51"/>
  <c r="C53" s="1"/>
  <c r="D51" l="1"/>
  <c r="D53" s="1"/>
  <c r="B13" i="19"/>
  <c r="C13"/>
  <c r="E19"/>
  <c r="E18"/>
  <c r="E17"/>
  <c r="D16"/>
  <c r="C16"/>
  <c r="E16" s="1"/>
  <c r="B16"/>
  <c r="E14"/>
  <c r="J113" i="65" l="1"/>
  <c r="J119" s="1"/>
  <c r="I113"/>
  <c r="G113"/>
  <c r="G119" s="1"/>
  <c r="F113"/>
  <c r="U86"/>
  <c r="T86"/>
  <c r="R86"/>
  <c r="Q86"/>
  <c r="O86"/>
  <c r="U85"/>
  <c r="T85"/>
  <c r="R85"/>
  <c r="Q85"/>
  <c r="O85"/>
  <c r="U84"/>
  <c r="T84"/>
  <c r="R84"/>
  <c r="Q84"/>
  <c r="O84"/>
  <c r="U83"/>
  <c r="T83"/>
  <c r="R83"/>
  <c r="Q83"/>
  <c r="O83"/>
  <c r="U82"/>
  <c r="T82"/>
  <c r="R82"/>
  <c r="Q82"/>
  <c r="O82"/>
  <c r="O87" s="1"/>
  <c r="U81"/>
  <c r="T81"/>
  <c r="R81"/>
  <c r="Q81"/>
  <c r="O81"/>
  <c r="U70"/>
  <c r="T70"/>
  <c r="R70"/>
  <c r="O70"/>
  <c r="U69"/>
  <c r="T69"/>
  <c r="R69"/>
  <c r="O69"/>
  <c r="U68"/>
  <c r="T68"/>
  <c r="R68"/>
  <c r="O68"/>
  <c r="U67"/>
  <c r="T67"/>
  <c r="R67"/>
  <c r="O67"/>
  <c r="U66"/>
  <c r="T66"/>
  <c r="R66"/>
  <c r="O66"/>
  <c r="U65"/>
  <c r="T65"/>
  <c r="R65"/>
  <c r="O65"/>
  <c r="U64"/>
  <c r="T64"/>
  <c r="R64"/>
  <c r="O64"/>
  <c r="U63"/>
  <c r="T63"/>
  <c r="R63"/>
  <c r="O63"/>
  <c r="U62"/>
  <c r="T62"/>
  <c r="R62"/>
  <c r="O62"/>
  <c r="U61"/>
  <c r="T61"/>
  <c r="R61"/>
  <c r="R71" s="1"/>
  <c r="O61"/>
  <c r="U60"/>
  <c r="T60"/>
  <c r="R60"/>
  <c r="O60"/>
  <c r="U59"/>
  <c r="T59"/>
  <c r="R59"/>
  <c r="O59"/>
  <c r="U55"/>
  <c r="T55"/>
  <c r="R55"/>
  <c r="O55"/>
  <c r="U54"/>
  <c r="T54"/>
  <c r="R54"/>
  <c r="O54"/>
  <c r="U53"/>
  <c r="T53"/>
  <c r="R53"/>
  <c r="O53"/>
  <c r="U52"/>
  <c r="T52"/>
  <c r="R52"/>
  <c r="O52"/>
  <c r="V51"/>
  <c r="U51"/>
  <c r="T51"/>
  <c r="S51"/>
  <c r="R51"/>
  <c r="P51"/>
  <c r="O51"/>
  <c r="V50"/>
  <c r="U50"/>
  <c r="T50"/>
  <c r="S50"/>
  <c r="R50"/>
  <c r="P50"/>
  <c r="O50"/>
  <c r="V49"/>
  <c r="U49"/>
  <c r="T49"/>
  <c r="S49"/>
  <c r="R49"/>
  <c r="P49"/>
  <c r="O49"/>
  <c r="V48"/>
  <c r="U48"/>
  <c r="T48"/>
  <c r="S48"/>
  <c r="R48"/>
  <c r="P48"/>
  <c r="O48"/>
  <c r="U47"/>
  <c r="T47"/>
  <c r="R47"/>
  <c r="O47"/>
  <c r="U46"/>
  <c r="T46"/>
  <c r="R46"/>
  <c r="O46"/>
  <c r="D55"/>
  <c r="C55"/>
  <c r="D54"/>
  <c r="C54"/>
  <c r="K51"/>
  <c r="H51"/>
  <c r="E51"/>
  <c r="K50"/>
  <c r="H50"/>
  <c r="E50"/>
  <c r="K49"/>
  <c r="H49"/>
  <c r="E49"/>
  <c r="K48"/>
  <c r="H48"/>
  <c r="E48"/>
  <c r="U35"/>
  <c r="T35"/>
  <c r="R35"/>
  <c r="O35"/>
  <c r="U34"/>
  <c r="T34"/>
  <c r="R34"/>
  <c r="O34"/>
  <c r="U33"/>
  <c r="T33"/>
  <c r="R33"/>
  <c r="O33"/>
  <c r="U32"/>
  <c r="T32"/>
  <c r="R32"/>
  <c r="O32"/>
  <c r="U31"/>
  <c r="T31"/>
  <c r="R31"/>
  <c r="O31"/>
  <c r="U30"/>
  <c r="T30"/>
  <c r="R30"/>
  <c r="O30"/>
  <c r="U29"/>
  <c r="T29"/>
  <c r="R29"/>
  <c r="O29"/>
  <c r="U28"/>
  <c r="T28"/>
  <c r="R28"/>
  <c r="O28"/>
  <c r="U27"/>
  <c r="T27"/>
  <c r="R27"/>
  <c r="O27"/>
  <c r="U26"/>
  <c r="T26"/>
  <c r="R26"/>
  <c r="O26"/>
  <c r="U25"/>
  <c r="T25"/>
  <c r="R25"/>
  <c r="O25"/>
  <c r="U24"/>
  <c r="T24"/>
  <c r="R24"/>
  <c r="O24"/>
  <c r="U23"/>
  <c r="T23"/>
  <c r="R23"/>
  <c r="O23"/>
  <c r="U20"/>
  <c r="T20"/>
  <c r="R20"/>
  <c r="O20"/>
  <c r="N20"/>
  <c r="U19"/>
  <c r="T19"/>
  <c r="R19"/>
  <c r="O19"/>
  <c r="U18"/>
  <c r="T18"/>
  <c r="R18"/>
  <c r="O18"/>
  <c r="U17"/>
  <c r="T17"/>
  <c r="R17"/>
  <c r="O17"/>
  <c r="U16"/>
  <c r="T16"/>
  <c r="R16"/>
  <c r="O16"/>
  <c r="U15"/>
  <c r="T15"/>
  <c r="R15"/>
  <c r="O15"/>
  <c r="U14"/>
  <c r="T14"/>
  <c r="R14"/>
  <c r="O14"/>
  <c r="U13"/>
  <c r="T13"/>
  <c r="R13"/>
  <c r="O13"/>
  <c r="U12"/>
  <c r="T12"/>
  <c r="R12"/>
  <c r="O12"/>
  <c r="U11"/>
  <c r="T11"/>
  <c r="R11"/>
  <c r="O11"/>
  <c r="J20"/>
  <c r="J11"/>
  <c r="U119"/>
  <c r="T119"/>
  <c r="R119"/>
  <c r="Q119"/>
  <c r="O119"/>
  <c r="I119"/>
  <c r="F119"/>
  <c r="V118"/>
  <c r="S118"/>
  <c r="P118"/>
  <c r="K118"/>
  <c r="H118"/>
  <c r="E118"/>
  <c r="V117"/>
  <c r="W117" s="1"/>
  <c r="S117"/>
  <c r="P117"/>
  <c r="K117"/>
  <c r="H117"/>
  <c r="E117"/>
  <c r="L117" s="1"/>
  <c r="V116"/>
  <c r="S116"/>
  <c r="P116"/>
  <c r="W116" s="1"/>
  <c r="K116"/>
  <c r="H116"/>
  <c r="E116"/>
  <c r="V115"/>
  <c r="S115"/>
  <c r="P115"/>
  <c r="K115"/>
  <c r="H115"/>
  <c r="E115"/>
  <c r="L115" s="1"/>
  <c r="V114"/>
  <c r="S114"/>
  <c r="P114"/>
  <c r="W114" s="1"/>
  <c r="X114" s="1"/>
  <c r="K114"/>
  <c r="H114"/>
  <c r="E114"/>
  <c r="L114" s="1"/>
  <c r="AC113"/>
  <c r="AB113"/>
  <c r="AA113"/>
  <c r="Z113"/>
  <c r="V113"/>
  <c r="V119" s="1"/>
  <c r="S113"/>
  <c r="U111"/>
  <c r="T111"/>
  <c r="R111"/>
  <c r="Q111"/>
  <c r="O111"/>
  <c r="N111"/>
  <c r="V110"/>
  <c r="S110"/>
  <c r="P110"/>
  <c r="W110" s="1"/>
  <c r="X110" s="1"/>
  <c r="K110"/>
  <c r="H110"/>
  <c r="E110"/>
  <c r="L110" s="1"/>
  <c r="V109"/>
  <c r="S109"/>
  <c r="P109"/>
  <c r="K109"/>
  <c r="H109"/>
  <c r="E109"/>
  <c r="L109" s="1"/>
  <c r="V108"/>
  <c r="S108"/>
  <c r="P108"/>
  <c r="W108" s="1"/>
  <c r="X108" s="1"/>
  <c r="K108"/>
  <c r="H108"/>
  <c r="E108"/>
  <c r="L108" s="1"/>
  <c r="W107"/>
  <c r="V107"/>
  <c r="S107"/>
  <c r="P107"/>
  <c r="L107"/>
  <c r="K107"/>
  <c r="H107"/>
  <c r="E107"/>
  <c r="V106"/>
  <c r="S106"/>
  <c r="P106"/>
  <c r="K106"/>
  <c r="H106"/>
  <c r="E106"/>
  <c r="L106" s="1"/>
  <c r="AC105"/>
  <c r="AB105"/>
  <c r="AA105"/>
  <c r="Z105"/>
  <c r="V105"/>
  <c r="V111" s="1"/>
  <c r="S105"/>
  <c r="S111" s="1"/>
  <c r="P105"/>
  <c r="P111" s="1"/>
  <c r="U103"/>
  <c r="T103"/>
  <c r="R103"/>
  <c r="Q103"/>
  <c r="O103"/>
  <c r="N103"/>
  <c r="J103"/>
  <c r="I103"/>
  <c r="G103"/>
  <c r="F103"/>
  <c r="D103"/>
  <c r="C103"/>
  <c r="V102"/>
  <c r="S102"/>
  <c r="P102"/>
  <c r="W102" s="1"/>
  <c r="K102"/>
  <c r="H102"/>
  <c r="E102"/>
  <c r="L102" s="1"/>
  <c r="V101"/>
  <c r="W101" s="1"/>
  <c r="S101"/>
  <c r="P101"/>
  <c r="K101"/>
  <c r="L101" s="1"/>
  <c r="H101"/>
  <c r="E101"/>
  <c r="V100"/>
  <c r="S100"/>
  <c r="P100"/>
  <c r="W100" s="1"/>
  <c r="K100"/>
  <c r="H100"/>
  <c r="E100"/>
  <c r="L100" s="1"/>
  <c r="V99"/>
  <c r="S99"/>
  <c r="P99"/>
  <c r="K99"/>
  <c r="H99"/>
  <c r="E99"/>
  <c r="V98"/>
  <c r="S98"/>
  <c r="P98"/>
  <c r="W98" s="1"/>
  <c r="K98"/>
  <c r="H98"/>
  <c r="E98"/>
  <c r="L98" s="1"/>
  <c r="W97"/>
  <c r="V97"/>
  <c r="V103" s="1"/>
  <c r="S97"/>
  <c r="P97"/>
  <c r="P103" s="1"/>
  <c r="L97"/>
  <c r="K97"/>
  <c r="H97"/>
  <c r="H103" s="1"/>
  <c r="E97"/>
  <c r="E103" s="1"/>
  <c r="U95"/>
  <c r="T95"/>
  <c r="R95"/>
  <c r="Q95"/>
  <c r="O95"/>
  <c r="N95"/>
  <c r="J95"/>
  <c r="I95"/>
  <c r="G95"/>
  <c r="F95"/>
  <c r="D95"/>
  <c r="C95"/>
  <c r="V94"/>
  <c r="S94"/>
  <c r="P94"/>
  <c r="K94"/>
  <c r="H94"/>
  <c r="E94"/>
  <c r="V93"/>
  <c r="S93"/>
  <c r="P93"/>
  <c r="K93"/>
  <c r="H93"/>
  <c r="E93"/>
  <c r="W92"/>
  <c r="V92"/>
  <c r="S92"/>
  <c r="P92"/>
  <c r="L92"/>
  <c r="K92"/>
  <c r="H92"/>
  <c r="E92"/>
  <c r="V91"/>
  <c r="S91"/>
  <c r="P91"/>
  <c r="K91"/>
  <c r="H91"/>
  <c r="E91"/>
  <c r="V90"/>
  <c r="S90"/>
  <c r="P90"/>
  <c r="W90" s="1"/>
  <c r="K90"/>
  <c r="H90"/>
  <c r="E90"/>
  <c r="V89"/>
  <c r="V95" s="1"/>
  <c r="S89"/>
  <c r="S95" s="1"/>
  <c r="P89"/>
  <c r="P95" s="1"/>
  <c r="K89"/>
  <c r="H89"/>
  <c r="H95" s="1"/>
  <c r="E89"/>
  <c r="K86"/>
  <c r="H86"/>
  <c r="E86"/>
  <c r="AC85"/>
  <c r="AB85"/>
  <c r="AA85"/>
  <c r="Z85"/>
  <c r="AC84"/>
  <c r="AB84"/>
  <c r="AA84"/>
  <c r="Z84"/>
  <c r="AA83"/>
  <c r="Z83"/>
  <c r="AC82"/>
  <c r="AB82"/>
  <c r="AA82"/>
  <c r="Z82"/>
  <c r="AA81"/>
  <c r="Z81"/>
  <c r="U79"/>
  <c r="T79"/>
  <c r="R79"/>
  <c r="Q79"/>
  <c r="O79"/>
  <c r="N79"/>
  <c r="J79"/>
  <c r="I79"/>
  <c r="G79"/>
  <c r="F79"/>
  <c r="D79"/>
  <c r="C79"/>
  <c r="V78"/>
  <c r="S78"/>
  <c r="P78"/>
  <c r="W78" s="1"/>
  <c r="K78"/>
  <c r="H78"/>
  <c r="E78"/>
  <c r="L78" s="1"/>
  <c r="V77"/>
  <c r="S77"/>
  <c r="P77"/>
  <c r="W77" s="1"/>
  <c r="K77"/>
  <c r="H77"/>
  <c r="E77"/>
  <c r="L77" s="1"/>
  <c r="V76"/>
  <c r="S76"/>
  <c r="P76"/>
  <c r="W76" s="1"/>
  <c r="K76"/>
  <c r="H76"/>
  <c r="E76"/>
  <c r="L76" s="1"/>
  <c r="V75"/>
  <c r="S75"/>
  <c r="P75"/>
  <c r="W75" s="1"/>
  <c r="K75"/>
  <c r="H75"/>
  <c r="E75"/>
  <c r="V74"/>
  <c r="W74" s="1"/>
  <c r="S74"/>
  <c r="P74"/>
  <c r="K74"/>
  <c r="H74"/>
  <c r="E74"/>
  <c r="V73"/>
  <c r="V79" s="1"/>
  <c r="S73"/>
  <c r="S79" s="1"/>
  <c r="P73"/>
  <c r="P79" s="1"/>
  <c r="K73"/>
  <c r="K79" s="1"/>
  <c r="H73"/>
  <c r="H79" s="1"/>
  <c r="E73"/>
  <c r="E79" s="1"/>
  <c r="AC70"/>
  <c r="AB70"/>
  <c r="AA70"/>
  <c r="Z70"/>
  <c r="AC69"/>
  <c r="AB69"/>
  <c r="AA69"/>
  <c r="Z69"/>
  <c r="AC68"/>
  <c r="AB68"/>
  <c r="AA68"/>
  <c r="Z68"/>
  <c r="AC67"/>
  <c r="AB67"/>
  <c r="AA67"/>
  <c r="Z67"/>
  <c r="AC66"/>
  <c r="AB66"/>
  <c r="AA66"/>
  <c r="Z66"/>
  <c r="AC65"/>
  <c r="AB65"/>
  <c r="AA65"/>
  <c r="Z65"/>
  <c r="AC64"/>
  <c r="AB64"/>
  <c r="AA64"/>
  <c r="Z64"/>
  <c r="AC63"/>
  <c r="AB63"/>
  <c r="AA63"/>
  <c r="Z63"/>
  <c r="AC62"/>
  <c r="AB62"/>
  <c r="AA62"/>
  <c r="Z62"/>
  <c r="AC61"/>
  <c r="AB61"/>
  <c r="AA61"/>
  <c r="Z61"/>
  <c r="AC60"/>
  <c r="AB60"/>
  <c r="AA60"/>
  <c r="Z60"/>
  <c r="AC59"/>
  <c r="AB59"/>
  <c r="AA59"/>
  <c r="Z59"/>
  <c r="AC58"/>
  <c r="AB58"/>
  <c r="AA58"/>
  <c r="Z58"/>
  <c r="V58"/>
  <c r="AC53"/>
  <c r="AB53"/>
  <c r="AA53"/>
  <c r="Z53"/>
  <c r="AC52"/>
  <c r="AB52"/>
  <c r="AA52"/>
  <c r="Z52"/>
  <c r="AC51"/>
  <c r="AB51"/>
  <c r="AA51"/>
  <c r="Z51"/>
  <c r="AC50"/>
  <c r="AB50"/>
  <c r="AA50"/>
  <c r="Z50"/>
  <c r="AC49"/>
  <c r="AB49"/>
  <c r="AA49"/>
  <c r="Z49"/>
  <c r="AC48"/>
  <c r="AB48"/>
  <c r="AA48"/>
  <c r="Z48"/>
  <c r="AC47"/>
  <c r="AB47"/>
  <c r="AA47"/>
  <c r="Z47"/>
  <c r="AC46"/>
  <c r="AB46"/>
  <c r="AA46"/>
  <c r="Z46"/>
  <c r="U44"/>
  <c r="T44"/>
  <c r="R44"/>
  <c r="Q44"/>
  <c r="O44"/>
  <c r="N44"/>
  <c r="J44"/>
  <c r="I44"/>
  <c r="G44"/>
  <c r="F44"/>
  <c r="D44"/>
  <c r="C44"/>
  <c r="V43"/>
  <c r="S43"/>
  <c r="P43"/>
  <c r="W43" s="1"/>
  <c r="K43"/>
  <c r="H43"/>
  <c r="E43"/>
  <c r="L43" s="1"/>
  <c r="V42"/>
  <c r="S42"/>
  <c r="P42"/>
  <c r="W42" s="1"/>
  <c r="K42"/>
  <c r="H42"/>
  <c r="E42"/>
  <c r="V41"/>
  <c r="S41"/>
  <c r="P41"/>
  <c r="K41"/>
  <c r="H41"/>
  <c r="E41"/>
  <c r="L41" s="1"/>
  <c r="V40"/>
  <c r="S40"/>
  <c r="P40"/>
  <c r="W40" s="1"/>
  <c r="K40"/>
  <c r="H40"/>
  <c r="E40"/>
  <c r="V39"/>
  <c r="S39"/>
  <c r="P39"/>
  <c r="K39"/>
  <c r="H39"/>
  <c r="E39"/>
  <c r="L39" s="1"/>
  <c r="V38"/>
  <c r="V44" s="1"/>
  <c r="S38"/>
  <c r="S44" s="1"/>
  <c r="P38"/>
  <c r="P44" s="1"/>
  <c r="K38"/>
  <c r="K44" s="1"/>
  <c r="H38"/>
  <c r="H44" s="1"/>
  <c r="E38"/>
  <c r="E44" s="1"/>
  <c r="AA35"/>
  <c r="Z35"/>
  <c r="AC34"/>
  <c r="AB34"/>
  <c r="AA34"/>
  <c r="Z34"/>
  <c r="AC33"/>
  <c r="AB33"/>
  <c r="AA33"/>
  <c r="Z33"/>
  <c r="AC32"/>
  <c r="AB32"/>
  <c r="AA32"/>
  <c r="Z32"/>
  <c r="AC31"/>
  <c r="AB31"/>
  <c r="AA31"/>
  <c r="Z31"/>
  <c r="AC30"/>
  <c r="AB30"/>
  <c r="AA30"/>
  <c r="Z30"/>
  <c r="AC29"/>
  <c r="AB29"/>
  <c r="AA29"/>
  <c r="Z29"/>
  <c r="AC28"/>
  <c r="AB28"/>
  <c r="AA28"/>
  <c r="Z28"/>
  <c r="AC27"/>
  <c r="AB27"/>
  <c r="AA27"/>
  <c r="Z27"/>
  <c r="AC26"/>
  <c r="AB26"/>
  <c r="AA26"/>
  <c r="Z26"/>
  <c r="AC25"/>
  <c r="AB25"/>
  <c r="AA25"/>
  <c r="Z25"/>
  <c r="AC24"/>
  <c r="AB24"/>
  <c r="AA24"/>
  <c r="Z24"/>
  <c r="AA23"/>
  <c r="Z23"/>
  <c r="AC20"/>
  <c r="AB20"/>
  <c r="AA20"/>
  <c r="Z20"/>
  <c r="AC19"/>
  <c r="AB19"/>
  <c r="AA19"/>
  <c r="Z19"/>
  <c r="AC18"/>
  <c r="AB18"/>
  <c r="AA18"/>
  <c r="Z18"/>
  <c r="AC17"/>
  <c r="AB17"/>
  <c r="AA17"/>
  <c r="Z17"/>
  <c r="AC16"/>
  <c r="AB16"/>
  <c r="AA16"/>
  <c r="Z16"/>
  <c r="AC15"/>
  <c r="AB15"/>
  <c r="AA15"/>
  <c r="Z15"/>
  <c r="AC14"/>
  <c r="AB14"/>
  <c r="AA14"/>
  <c r="Z14"/>
  <c r="AC13"/>
  <c r="AB13"/>
  <c r="AA13"/>
  <c r="Z13"/>
  <c r="AC12"/>
  <c r="AB12"/>
  <c r="AA12"/>
  <c r="Z12"/>
  <c r="AC11"/>
  <c r="AB11"/>
  <c r="AA11"/>
  <c r="Z11"/>
  <c r="K113" i="64"/>
  <c r="J113"/>
  <c r="J119" s="1"/>
  <c r="H113"/>
  <c r="H119" s="1"/>
  <c r="K105"/>
  <c r="K111" s="1"/>
  <c r="T86"/>
  <c r="R86"/>
  <c r="Q86"/>
  <c r="P86"/>
  <c r="O86"/>
  <c r="T85"/>
  <c r="R85"/>
  <c r="Q85"/>
  <c r="P85"/>
  <c r="O85"/>
  <c r="T84"/>
  <c r="R84"/>
  <c r="Q84"/>
  <c r="P84"/>
  <c r="O84"/>
  <c r="T83"/>
  <c r="R83"/>
  <c r="Q83"/>
  <c r="P83"/>
  <c r="O83"/>
  <c r="T82"/>
  <c r="R82"/>
  <c r="Q82"/>
  <c r="P82"/>
  <c r="O82"/>
  <c r="T81"/>
  <c r="R81"/>
  <c r="Q81"/>
  <c r="P81"/>
  <c r="O81"/>
  <c r="T80"/>
  <c r="R80"/>
  <c r="Q80"/>
  <c r="P80"/>
  <c r="O80"/>
  <c r="T79"/>
  <c r="K83"/>
  <c r="H83"/>
  <c r="F83"/>
  <c r="D83"/>
  <c r="H82"/>
  <c r="F82"/>
  <c r="E82"/>
  <c r="D82"/>
  <c r="C82"/>
  <c r="H81"/>
  <c r="F81"/>
  <c r="E81"/>
  <c r="K80"/>
  <c r="J80"/>
  <c r="L80" s="1"/>
  <c r="H80"/>
  <c r="F80"/>
  <c r="E80"/>
  <c r="D80"/>
  <c r="C80"/>
  <c r="H79"/>
  <c r="T68"/>
  <c r="R68"/>
  <c r="Q68"/>
  <c r="P68"/>
  <c r="O68"/>
  <c r="T67"/>
  <c r="R67"/>
  <c r="Q67"/>
  <c r="P67"/>
  <c r="O67"/>
  <c r="T65"/>
  <c r="T64"/>
  <c r="R64"/>
  <c r="O63"/>
  <c r="T62"/>
  <c r="R62"/>
  <c r="Q62"/>
  <c r="P62"/>
  <c r="O62"/>
  <c r="T61"/>
  <c r="T60"/>
  <c r="T59"/>
  <c r="Q59"/>
  <c r="T58"/>
  <c r="R58"/>
  <c r="Q58"/>
  <c r="P58"/>
  <c r="O58"/>
  <c r="R56"/>
  <c r="Q56"/>
  <c r="P56"/>
  <c r="K68"/>
  <c r="J68"/>
  <c r="L68" s="1"/>
  <c r="H68"/>
  <c r="F68"/>
  <c r="E68"/>
  <c r="D68"/>
  <c r="C68"/>
  <c r="K67"/>
  <c r="H67"/>
  <c r="F67"/>
  <c r="E67"/>
  <c r="D67"/>
  <c r="C67"/>
  <c r="K66"/>
  <c r="K62"/>
  <c r="J62"/>
  <c r="L62" s="1"/>
  <c r="H62"/>
  <c r="K61"/>
  <c r="J61"/>
  <c r="H61"/>
  <c r="H60"/>
  <c r="K58"/>
  <c r="H58"/>
  <c r="F58"/>
  <c r="E58"/>
  <c r="D58"/>
  <c r="C58"/>
  <c r="T53"/>
  <c r="R53"/>
  <c r="Q53"/>
  <c r="P53"/>
  <c r="O53"/>
  <c r="T52"/>
  <c r="R52"/>
  <c r="Q52"/>
  <c r="P52"/>
  <c r="O52"/>
  <c r="T51"/>
  <c r="R51"/>
  <c r="Q51"/>
  <c r="P51"/>
  <c r="O51"/>
  <c r="T50"/>
  <c r="R50"/>
  <c r="Q50"/>
  <c r="P50"/>
  <c r="O50"/>
  <c r="T49"/>
  <c r="T48"/>
  <c r="R48"/>
  <c r="Q48"/>
  <c r="P48"/>
  <c r="O48"/>
  <c r="T47"/>
  <c r="R47"/>
  <c r="Q47"/>
  <c r="P47"/>
  <c r="O47"/>
  <c r="T46"/>
  <c r="R46"/>
  <c r="Q46"/>
  <c r="P46"/>
  <c r="O46"/>
  <c r="R45"/>
  <c r="K53"/>
  <c r="J53"/>
  <c r="L53" s="1"/>
  <c r="H53"/>
  <c r="F53"/>
  <c r="E53"/>
  <c r="D53"/>
  <c r="C53"/>
  <c r="K51"/>
  <c r="J51"/>
  <c r="H51"/>
  <c r="F51"/>
  <c r="E51"/>
  <c r="D51"/>
  <c r="C51"/>
  <c r="K50"/>
  <c r="J50"/>
  <c r="H50"/>
  <c r="F50"/>
  <c r="E50"/>
  <c r="K48"/>
  <c r="J48"/>
  <c r="F48"/>
  <c r="E48"/>
  <c r="D48"/>
  <c r="C48"/>
  <c r="K47"/>
  <c r="F47"/>
  <c r="E47"/>
  <c r="D47"/>
  <c r="C47"/>
  <c r="K46"/>
  <c r="J46"/>
  <c r="T34"/>
  <c r="R34"/>
  <c r="Q34"/>
  <c r="P34"/>
  <c r="O34"/>
  <c r="T33"/>
  <c r="R33"/>
  <c r="Q33"/>
  <c r="T32"/>
  <c r="R32"/>
  <c r="Q32"/>
  <c r="P32"/>
  <c r="O32"/>
  <c r="T31"/>
  <c r="R31"/>
  <c r="Q31"/>
  <c r="P31"/>
  <c r="O31"/>
  <c r="T30"/>
  <c r="R30"/>
  <c r="Q30"/>
  <c r="T29"/>
  <c r="R29"/>
  <c r="Q29"/>
  <c r="T28"/>
  <c r="R28"/>
  <c r="P28"/>
  <c r="T27"/>
  <c r="R27"/>
  <c r="Q27"/>
  <c r="P27"/>
  <c r="O27"/>
  <c r="T26"/>
  <c r="R26"/>
  <c r="Q26"/>
  <c r="P26"/>
  <c r="O26"/>
  <c r="T24"/>
  <c r="Q24"/>
  <c r="P24"/>
  <c r="O24"/>
  <c r="T23"/>
  <c r="T22"/>
  <c r="S22"/>
  <c r="R22"/>
  <c r="Q22"/>
  <c r="P22"/>
  <c r="O22"/>
  <c r="K34"/>
  <c r="J34"/>
  <c r="H34"/>
  <c r="K33"/>
  <c r="F33"/>
  <c r="E33"/>
  <c r="K32"/>
  <c r="F32"/>
  <c r="E32"/>
  <c r="D32"/>
  <c r="C32"/>
  <c r="F30"/>
  <c r="K27"/>
  <c r="J27"/>
  <c r="F27"/>
  <c r="E27"/>
  <c r="K25"/>
  <c r="K24"/>
  <c r="J24"/>
  <c r="K23"/>
  <c r="J23"/>
  <c r="K22"/>
  <c r="H22"/>
  <c r="T19"/>
  <c r="S19"/>
  <c r="R19"/>
  <c r="Q19"/>
  <c r="P19"/>
  <c r="O19"/>
  <c r="T18"/>
  <c r="S18"/>
  <c r="R18"/>
  <c r="Q18"/>
  <c r="P18"/>
  <c r="O18"/>
  <c r="T17"/>
  <c r="S17"/>
  <c r="R17"/>
  <c r="Q17"/>
  <c r="P17"/>
  <c r="O17"/>
  <c r="T16"/>
  <c r="S16"/>
  <c r="R16"/>
  <c r="Q16"/>
  <c r="P16"/>
  <c r="O16"/>
  <c r="T15"/>
  <c r="S15"/>
  <c r="R15"/>
  <c r="Q15"/>
  <c r="P15"/>
  <c r="O15"/>
  <c r="T14"/>
  <c r="S14"/>
  <c r="R14"/>
  <c r="Q14"/>
  <c r="P14"/>
  <c r="O14"/>
  <c r="T13"/>
  <c r="S13"/>
  <c r="R13"/>
  <c r="Q13"/>
  <c r="P13"/>
  <c r="O13"/>
  <c r="T12"/>
  <c r="S12"/>
  <c r="R12"/>
  <c r="Q12"/>
  <c r="P12"/>
  <c r="O12"/>
  <c r="T11"/>
  <c r="R11"/>
  <c r="T10"/>
  <c r="S10"/>
  <c r="R10"/>
  <c r="Q10"/>
  <c r="P10"/>
  <c r="O10"/>
  <c r="K19"/>
  <c r="J19"/>
  <c r="H19"/>
  <c r="G19"/>
  <c r="F19"/>
  <c r="E19"/>
  <c r="D19"/>
  <c r="C19"/>
  <c r="K18"/>
  <c r="H18"/>
  <c r="F18"/>
  <c r="E18"/>
  <c r="D18"/>
  <c r="C18"/>
  <c r="H17"/>
  <c r="F17"/>
  <c r="E17"/>
  <c r="D17"/>
  <c r="C17"/>
  <c r="K16"/>
  <c r="J16"/>
  <c r="H16"/>
  <c r="F16"/>
  <c r="E16"/>
  <c r="D16"/>
  <c r="C16"/>
  <c r="K15"/>
  <c r="J15"/>
  <c r="H15"/>
  <c r="F15"/>
  <c r="E15"/>
  <c r="D15"/>
  <c r="C15"/>
  <c r="F14"/>
  <c r="J13"/>
  <c r="H13"/>
  <c r="F12"/>
  <c r="E12"/>
  <c r="K11"/>
  <c r="F11"/>
  <c r="K10"/>
  <c r="J10"/>
  <c r="F10"/>
  <c r="E10"/>
  <c r="AI121"/>
  <c r="AG120"/>
  <c r="W119"/>
  <c r="V119"/>
  <c r="T119"/>
  <c r="R119"/>
  <c r="Q119"/>
  <c r="N119"/>
  <c r="K119"/>
  <c r="X118"/>
  <c r="U118"/>
  <c r="Y118" s="1"/>
  <c r="S118"/>
  <c r="L118"/>
  <c r="I118"/>
  <c r="Y117"/>
  <c r="X117"/>
  <c r="U117"/>
  <c r="S117"/>
  <c r="M117"/>
  <c r="L117"/>
  <c r="I117"/>
  <c r="X116"/>
  <c r="U116"/>
  <c r="Y116" s="1"/>
  <c r="Z116" s="1"/>
  <c r="S116"/>
  <c r="L116"/>
  <c r="I116"/>
  <c r="M116" s="1"/>
  <c r="X115"/>
  <c r="U115"/>
  <c r="Y115" s="1"/>
  <c r="S115"/>
  <c r="L115"/>
  <c r="I115"/>
  <c r="X114"/>
  <c r="X119" s="1"/>
  <c r="U114"/>
  <c r="S114"/>
  <c r="L114"/>
  <c r="I114"/>
  <c r="AB113"/>
  <c r="X113"/>
  <c r="P113"/>
  <c r="P119" s="1"/>
  <c r="O113"/>
  <c r="O119" s="1"/>
  <c r="L113"/>
  <c r="L119" s="1"/>
  <c r="AI112"/>
  <c r="W111"/>
  <c r="V111"/>
  <c r="T111"/>
  <c r="R111"/>
  <c r="Q111"/>
  <c r="P111"/>
  <c r="O111"/>
  <c r="N111"/>
  <c r="X110"/>
  <c r="S110"/>
  <c r="U110" s="1"/>
  <c r="Y110" s="1"/>
  <c r="L110"/>
  <c r="I110"/>
  <c r="M110" s="1"/>
  <c r="X109"/>
  <c r="U109"/>
  <c r="S109"/>
  <c r="L109"/>
  <c r="I109"/>
  <c r="X108"/>
  <c r="S108"/>
  <c r="U108" s="1"/>
  <c r="L108"/>
  <c r="I108"/>
  <c r="X107"/>
  <c r="S107"/>
  <c r="U107" s="1"/>
  <c r="Y107" s="1"/>
  <c r="L107"/>
  <c r="M107" s="1"/>
  <c r="I107"/>
  <c r="X106"/>
  <c r="U106"/>
  <c r="Y106" s="1"/>
  <c r="S106"/>
  <c r="L106"/>
  <c r="I106"/>
  <c r="X105"/>
  <c r="X111" s="1"/>
  <c r="S105"/>
  <c r="U105" s="1"/>
  <c r="AI104"/>
  <c r="W103"/>
  <c r="V103"/>
  <c r="R103"/>
  <c r="Q103"/>
  <c r="P103"/>
  <c r="O103"/>
  <c r="K103"/>
  <c r="J103"/>
  <c r="H103"/>
  <c r="F103"/>
  <c r="E103"/>
  <c r="D103"/>
  <c r="C103"/>
  <c r="X102"/>
  <c r="S102"/>
  <c r="U102" s="1"/>
  <c r="Y102" s="1"/>
  <c r="L102"/>
  <c r="I102"/>
  <c r="M102" s="1"/>
  <c r="X101"/>
  <c r="U101"/>
  <c r="S101"/>
  <c r="L101"/>
  <c r="I101"/>
  <c r="X100"/>
  <c r="S100"/>
  <c r="U100" s="1"/>
  <c r="L100"/>
  <c r="I100"/>
  <c r="X99"/>
  <c r="S99"/>
  <c r="U99" s="1"/>
  <c r="Y99" s="1"/>
  <c r="L99"/>
  <c r="I99"/>
  <c r="M99" s="1"/>
  <c r="X98"/>
  <c r="S98"/>
  <c r="U98" s="1"/>
  <c r="L98"/>
  <c r="I98"/>
  <c r="X97"/>
  <c r="X103" s="1"/>
  <c r="S97"/>
  <c r="U97" s="1"/>
  <c r="Y97" s="1"/>
  <c r="L97"/>
  <c r="I97"/>
  <c r="AI96"/>
  <c r="W95"/>
  <c r="V95"/>
  <c r="R95"/>
  <c r="Q95"/>
  <c r="P95"/>
  <c r="O95"/>
  <c r="K95"/>
  <c r="J95"/>
  <c r="H95"/>
  <c r="F95"/>
  <c r="E95"/>
  <c r="D95"/>
  <c r="C95"/>
  <c r="X94"/>
  <c r="U94"/>
  <c r="Y94" s="1"/>
  <c r="S94"/>
  <c r="L94"/>
  <c r="I94"/>
  <c r="M94" s="1"/>
  <c r="X93"/>
  <c r="S93"/>
  <c r="U93" s="1"/>
  <c r="Y93" s="1"/>
  <c r="L93"/>
  <c r="I93"/>
  <c r="X92"/>
  <c r="U92"/>
  <c r="Y92" s="1"/>
  <c r="S92"/>
  <c r="L92"/>
  <c r="I92"/>
  <c r="M92" s="1"/>
  <c r="X91"/>
  <c r="S91"/>
  <c r="U91" s="1"/>
  <c r="Y91" s="1"/>
  <c r="M91"/>
  <c r="L91"/>
  <c r="I91"/>
  <c r="X90"/>
  <c r="S90"/>
  <c r="U90" s="1"/>
  <c r="Y90" s="1"/>
  <c r="L90"/>
  <c r="I90"/>
  <c r="X89"/>
  <c r="X95" s="1"/>
  <c r="U89"/>
  <c r="S89"/>
  <c r="L89"/>
  <c r="I89"/>
  <c r="AI88"/>
  <c r="W87"/>
  <c r="V87"/>
  <c r="N87"/>
  <c r="X86"/>
  <c r="L86"/>
  <c r="I86"/>
  <c r="M86" s="1"/>
  <c r="G86"/>
  <c r="X85"/>
  <c r="L85"/>
  <c r="I85"/>
  <c r="G85"/>
  <c r="X84"/>
  <c r="L84"/>
  <c r="I84"/>
  <c r="M84" s="1"/>
  <c r="G84"/>
  <c r="X83"/>
  <c r="X82"/>
  <c r="AE81"/>
  <c r="X81"/>
  <c r="X80"/>
  <c r="X87" s="1"/>
  <c r="AB79"/>
  <c r="X79"/>
  <c r="AI78"/>
  <c r="W77"/>
  <c r="V77"/>
  <c r="R77"/>
  <c r="Q77"/>
  <c r="P77"/>
  <c r="O77"/>
  <c r="K77"/>
  <c r="J77"/>
  <c r="H77"/>
  <c r="F77"/>
  <c r="E77"/>
  <c r="D77"/>
  <c r="C77"/>
  <c r="X76"/>
  <c r="S76"/>
  <c r="U76" s="1"/>
  <c r="Y76" s="1"/>
  <c r="L76"/>
  <c r="I76"/>
  <c r="X75"/>
  <c r="S75"/>
  <c r="U75" s="1"/>
  <c r="Y75" s="1"/>
  <c r="L75"/>
  <c r="M75" s="1"/>
  <c r="I75"/>
  <c r="X74"/>
  <c r="U74"/>
  <c r="Y74" s="1"/>
  <c r="S74"/>
  <c r="L74"/>
  <c r="I74"/>
  <c r="M74" s="1"/>
  <c r="X73"/>
  <c r="U73"/>
  <c r="S73"/>
  <c r="L73"/>
  <c r="I73"/>
  <c r="X72"/>
  <c r="S72"/>
  <c r="U72" s="1"/>
  <c r="Y72" s="1"/>
  <c r="L72"/>
  <c r="I72"/>
  <c r="X71"/>
  <c r="S71"/>
  <c r="U71" s="1"/>
  <c r="Y71" s="1"/>
  <c r="M71"/>
  <c r="L71"/>
  <c r="L77" s="1"/>
  <c r="I71"/>
  <c r="AI70"/>
  <c r="W69"/>
  <c r="V69"/>
  <c r="N69"/>
  <c r="X68"/>
  <c r="AC66"/>
  <c r="AB66"/>
  <c r="X66"/>
  <c r="AE65"/>
  <c r="AC65"/>
  <c r="AB65"/>
  <c r="X65"/>
  <c r="AB64"/>
  <c r="X64"/>
  <c r="AF63"/>
  <c r="AE63"/>
  <c r="AC63"/>
  <c r="AB63"/>
  <c r="X63"/>
  <c r="X62"/>
  <c r="AB61"/>
  <c r="X61"/>
  <c r="AB60"/>
  <c r="X60"/>
  <c r="AB59"/>
  <c r="X59"/>
  <c r="X58"/>
  <c r="AF57"/>
  <c r="AF120" s="1"/>
  <c r="AE57"/>
  <c r="AC57"/>
  <c r="AB57"/>
  <c r="X57"/>
  <c r="AC56"/>
  <c r="AB56"/>
  <c r="X56"/>
  <c r="AI55"/>
  <c r="W54"/>
  <c r="V54"/>
  <c r="N54"/>
  <c r="X53"/>
  <c r="AE52"/>
  <c r="X52"/>
  <c r="X51"/>
  <c r="X50"/>
  <c r="L50"/>
  <c r="AB49"/>
  <c r="X49"/>
  <c r="AE48"/>
  <c r="AE120" s="1"/>
  <c r="X48"/>
  <c r="X47"/>
  <c r="X46"/>
  <c r="AC45"/>
  <c r="AB45"/>
  <c r="X45"/>
  <c r="AI44"/>
  <c r="W43"/>
  <c r="V43"/>
  <c r="T43"/>
  <c r="R43"/>
  <c r="Q43"/>
  <c r="P43"/>
  <c r="O43"/>
  <c r="N43"/>
  <c r="K43"/>
  <c r="J43"/>
  <c r="H43"/>
  <c r="F43"/>
  <c r="E43"/>
  <c r="D43"/>
  <c r="C43"/>
  <c r="X42"/>
  <c r="U42"/>
  <c r="Y42" s="1"/>
  <c r="S42"/>
  <c r="L42"/>
  <c r="I42"/>
  <c r="M42" s="1"/>
  <c r="X41"/>
  <c r="U41"/>
  <c r="Y41" s="1"/>
  <c r="S41"/>
  <c r="L41"/>
  <c r="I41"/>
  <c r="M41" s="1"/>
  <c r="X40"/>
  <c r="U40"/>
  <c r="S40"/>
  <c r="L40"/>
  <c r="I40"/>
  <c r="X39"/>
  <c r="U39"/>
  <c r="Y39" s="1"/>
  <c r="S39"/>
  <c r="L39"/>
  <c r="I39"/>
  <c r="X38"/>
  <c r="Y38" s="1"/>
  <c r="U38"/>
  <c r="S38"/>
  <c r="L38"/>
  <c r="L43" s="1"/>
  <c r="I38"/>
  <c r="AI37"/>
  <c r="W36"/>
  <c r="V36"/>
  <c r="N36"/>
  <c r="U35"/>
  <c r="I35"/>
  <c r="M35" s="1"/>
  <c r="AI35" s="1"/>
  <c r="AB34"/>
  <c r="X34"/>
  <c r="AB33"/>
  <c r="X33"/>
  <c r="X32"/>
  <c r="X31"/>
  <c r="AB30"/>
  <c r="X30"/>
  <c r="AB29"/>
  <c r="X29"/>
  <c r="AB28"/>
  <c r="X28"/>
  <c r="X27"/>
  <c r="X26"/>
  <c r="AB25"/>
  <c r="X25"/>
  <c r="AB24"/>
  <c r="X24"/>
  <c r="AB23"/>
  <c r="X23"/>
  <c r="X22"/>
  <c r="AI21"/>
  <c r="W20"/>
  <c r="W120" s="1"/>
  <c r="V20"/>
  <c r="V120" s="1"/>
  <c r="N20"/>
  <c r="X19"/>
  <c r="X18"/>
  <c r="X17"/>
  <c r="X16"/>
  <c r="X15"/>
  <c r="L15"/>
  <c r="AD14"/>
  <c r="X14"/>
  <c r="AD13"/>
  <c r="X13"/>
  <c r="X12"/>
  <c r="AB11"/>
  <c r="X11"/>
  <c r="AD10"/>
  <c r="X10"/>
  <c r="X20" s="1"/>
  <c r="AI121" i="49"/>
  <c r="AI112"/>
  <c r="AI104"/>
  <c r="AI96"/>
  <c r="AI88"/>
  <c r="AI78"/>
  <c r="AI70"/>
  <c r="AI55"/>
  <c r="AI44"/>
  <c r="AI37"/>
  <c r="AI21"/>
  <c r="U118"/>
  <c r="U117"/>
  <c r="U116"/>
  <c r="U115"/>
  <c r="U114"/>
  <c r="U86"/>
  <c r="U85"/>
  <c r="U84"/>
  <c r="U83"/>
  <c r="U82"/>
  <c r="U81"/>
  <c r="U80"/>
  <c r="U68"/>
  <c r="U67"/>
  <c r="U62"/>
  <c r="U58"/>
  <c r="U53"/>
  <c r="U52"/>
  <c r="U51"/>
  <c r="U50"/>
  <c r="U48"/>
  <c r="U47"/>
  <c r="U46"/>
  <c r="U42"/>
  <c r="U41"/>
  <c r="U40"/>
  <c r="U39"/>
  <c r="U38"/>
  <c r="U35"/>
  <c r="U34"/>
  <c r="U32"/>
  <c r="U31"/>
  <c r="U27"/>
  <c r="U26"/>
  <c r="U22"/>
  <c r="U19"/>
  <c r="U18"/>
  <c r="U17"/>
  <c r="U16"/>
  <c r="U15"/>
  <c r="U14"/>
  <c r="U13"/>
  <c r="U12"/>
  <c r="U10"/>
  <c r="I67"/>
  <c r="I67" i="64" s="1"/>
  <c r="L10" l="1"/>
  <c r="L19"/>
  <c r="U86"/>
  <c r="T20"/>
  <c r="U16"/>
  <c r="Y16" s="1"/>
  <c r="Q87" i="65"/>
  <c r="L46" i="64"/>
  <c r="AI41"/>
  <c r="Z41"/>
  <c r="X36"/>
  <c r="M40"/>
  <c r="Z42"/>
  <c r="M38"/>
  <c r="I43"/>
  <c r="X77"/>
  <c r="M76"/>
  <c r="L95"/>
  <c r="M90"/>
  <c r="Y98"/>
  <c r="M100"/>
  <c r="M101"/>
  <c r="S103"/>
  <c r="S113"/>
  <c r="M115"/>
  <c r="Z115" s="1"/>
  <c r="R20"/>
  <c r="I77"/>
  <c r="Y73"/>
  <c r="Y108"/>
  <c r="X69"/>
  <c r="L103"/>
  <c r="M98"/>
  <c r="M106"/>
  <c r="Z106" s="1"/>
  <c r="M108"/>
  <c r="M109"/>
  <c r="U113"/>
  <c r="U119" s="1"/>
  <c r="Y114"/>
  <c r="X54"/>
  <c r="Y100"/>
  <c r="W106" i="65"/>
  <c r="W109"/>
  <c r="W115"/>
  <c r="W94"/>
  <c r="L40"/>
  <c r="X40" s="1"/>
  <c r="L42"/>
  <c r="X42" s="1"/>
  <c r="L89"/>
  <c r="L91"/>
  <c r="L94"/>
  <c r="X107"/>
  <c r="Y86" i="64"/>
  <c r="W39" i="65"/>
  <c r="W41"/>
  <c r="L74"/>
  <c r="L75"/>
  <c r="X97"/>
  <c r="L116"/>
  <c r="U18" i="64"/>
  <c r="Y18" s="1"/>
  <c r="L16"/>
  <c r="L61"/>
  <c r="L34"/>
  <c r="U10"/>
  <c r="Y10" s="1"/>
  <c r="L48"/>
  <c r="U12"/>
  <c r="Y12" s="1"/>
  <c r="U13"/>
  <c r="Y13" s="1"/>
  <c r="U14"/>
  <c r="Y14" s="1"/>
  <c r="U17"/>
  <c r="Y17" s="1"/>
  <c r="U19"/>
  <c r="Y19" s="1"/>
  <c r="L23"/>
  <c r="L27"/>
  <c r="L51"/>
  <c r="U51"/>
  <c r="Y51" s="1"/>
  <c r="U58"/>
  <c r="Y58" s="1"/>
  <c r="U62"/>
  <c r="U81"/>
  <c r="Y81" s="1"/>
  <c r="U84"/>
  <c r="Y84" s="1"/>
  <c r="T21" i="65"/>
  <c r="U27" i="64"/>
  <c r="Y27" s="1"/>
  <c r="U46"/>
  <c r="U48"/>
  <c r="Y48" s="1"/>
  <c r="H87"/>
  <c r="U83"/>
  <c r="Y83" s="1"/>
  <c r="U85"/>
  <c r="Y85" s="1"/>
  <c r="R21" i="65"/>
  <c r="O21"/>
  <c r="R36"/>
  <c r="O36"/>
  <c r="O71"/>
  <c r="T87"/>
  <c r="R87"/>
  <c r="T36"/>
  <c r="O56"/>
  <c r="T71"/>
  <c r="L86"/>
  <c r="U56"/>
  <c r="U87"/>
  <c r="L24" i="64"/>
  <c r="U53"/>
  <c r="Y53" s="1"/>
  <c r="U67"/>
  <c r="Y67" s="1"/>
  <c r="U68"/>
  <c r="Y68" s="1"/>
  <c r="U80"/>
  <c r="Y80" s="1"/>
  <c r="T87"/>
  <c r="U36" i="65"/>
  <c r="R56"/>
  <c r="T56"/>
  <c r="U71"/>
  <c r="X117"/>
  <c r="W118"/>
  <c r="X118" s="1"/>
  <c r="X116"/>
  <c r="S119"/>
  <c r="L118"/>
  <c r="X92"/>
  <c r="W93"/>
  <c r="W91"/>
  <c r="K95"/>
  <c r="L90"/>
  <c r="L93"/>
  <c r="K103"/>
  <c r="L99"/>
  <c r="L103" s="1"/>
  <c r="S103"/>
  <c r="W99"/>
  <c r="U15" i="64"/>
  <c r="Y15" s="1"/>
  <c r="U22"/>
  <c r="Y22" s="1"/>
  <c r="U26"/>
  <c r="Y26" s="1"/>
  <c r="U31"/>
  <c r="Y31" s="1"/>
  <c r="U32"/>
  <c r="Y32" s="1"/>
  <c r="U34"/>
  <c r="Y34" s="1"/>
  <c r="U50"/>
  <c r="Y50" s="1"/>
  <c r="U52"/>
  <c r="Y52" s="1"/>
  <c r="U21" i="65"/>
  <c r="U47" i="64"/>
  <c r="Y47" s="1"/>
  <c r="U82"/>
  <c r="Y82" s="1"/>
  <c r="X76" i="65"/>
  <c r="X78"/>
  <c r="X90"/>
  <c r="X93"/>
  <c r="X98"/>
  <c r="X100"/>
  <c r="X101"/>
  <c r="X102"/>
  <c r="L95"/>
  <c r="X106"/>
  <c r="X109"/>
  <c r="X115"/>
  <c r="X39"/>
  <c r="X41"/>
  <c r="X43"/>
  <c r="X74"/>
  <c r="X75"/>
  <c r="X77"/>
  <c r="X91"/>
  <c r="X94"/>
  <c r="X99"/>
  <c r="L38"/>
  <c r="L44" s="1"/>
  <c r="W38"/>
  <c r="L73"/>
  <c r="L79" s="1"/>
  <c r="W73"/>
  <c r="E95"/>
  <c r="W103"/>
  <c r="W89"/>
  <c r="W105"/>
  <c r="Y62" i="64"/>
  <c r="Z90"/>
  <c r="AI90" s="1"/>
  <c r="Y77"/>
  <c r="Z71"/>
  <c r="AI71" s="1"/>
  <c r="Z76"/>
  <c r="AI76" s="1"/>
  <c r="AI99"/>
  <c r="Z99"/>
  <c r="AI107"/>
  <c r="Z107"/>
  <c r="AF122"/>
  <c r="Z74"/>
  <c r="AI74" s="1"/>
  <c r="Z75"/>
  <c r="AI75" s="1"/>
  <c r="Z98"/>
  <c r="AI98"/>
  <c r="Z100"/>
  <c r="AI100"/>
  <c r="Z102"/>
  <c r="AI102"/>
  <c r="Z108"/>
  <c r="AI108"/>
  <c r="Z110"/>
  <c r="AI110"/>
  <c r="Z92"/>
  <c r="AI92" s="1"/>
  <c r="U43"/>
  <c r="Z94"/>
  <c r="AI94" s="1"/>
  <c r="Y113"/>
  <c r="M97"/>
  <c r="M103" s="1"/>
  <c r="I103"/>
  <c r="Z38"/>
  <c r="AI38" s="1"/>
  <c r="Y40"/>
  <c r="M72"/>
  <c r="M85"/>
  <c r="U103"/>
  <c r="M114"/>
  <c r="M118"/>
  <c r="M89"/>
  <c r="I95"/>
  <c r="Y105"/>
  <c r="U111"/>
  <c r="Z117"/>
  <c r="AI117" s="1"/>
  <c r="M39"/>
  <c r="AI42"/>
  <c r="Z114"/>
  <c r="AI116"/>
  <c r="Z118"/>
  <c r="X43"/>
  <c r="X120" s="1"/>
  <c r="Y46"/>
  <c r="U77"/>
  <c r="M73"/>
  <c r="Z73" s="1"/>
  <c r="Z84"/>
  <c r="AI84" s="1"/>
  <c r="Z86"/>
  <c r="AI86" s="1"/>
  <c r="Y89"/>
  <c r="Z91"/>
  <c r="AI91" s="1"/>
  <c r="M93"/>
  <c r="U95"/>
  <c r="Y101"/>
  <c r="Y103" s="1"/>
  <c r="Y109"/>
  <c r="Z97" l="1"/>
  <c r="Z85"/>
  <c r="AI85" s="1"/>
  <c r="AI114"/>
  <c r="AI115"/>
  <c r="AI106"/>
  <c r="R120" i="65"/>
  <c r="O120"/>
  <c r="T120"/>
  <c r="U120"/>
  <c r="X103"/>
  <c r="W111"/>
  <c r="X73"/>
  <c r="W79"/>
  <c r="X79" s="1"/>
  <c r="X38"/>
  <c r="W44"/>
  <c r="X44" s="1"/>
  <c r="X89"/>
  <c r="W95"/>
  <c r="X95" s="1"/>
  <c r="Z103" i="64"/>
  <c r="AI103" s="1"/>
  <c r="Z109"/>
  <c r="AI109" s="1"/>
  <c r="Y111"/>
  <c r="AI73"/>
  <c r="M43"/>
  <c r="Z40"/>
  <c r="AI40" s="1"/>
  <c r="Y119"/>
  <c r="AI118"/>
  <c r="Z93"/>
  <c r="AI93" s="1"/>
  <c r="Y43"/>
  <c r="Z39"/>
  <c r="AI39" s="1"/>
  <c r="Z89"/>
  <c r="AI89" s="1"/>
  <c r="Y95"/>
  <c r="M95"/>
  <c r="Z72"/>
  <c r="AI72" s="1"/>
  <c r="Z101"/>
  <c r="AI101" s="1"/>
  <c r="AI97"/>
  <c r="M77"/>
  <c r="Z77" l="1"/>
  <c r="AI77" s="1"/>
  <c r="Z95"/>
  <c r="AI95" s="1"/>
  <c r="Z43"/>
  <c r="G62" i="2"/>
  <c r="G25"/>
  <c r="AI43" i="64" l="1"/>
  <c r="Q70" i="34"/>
  <c r="Q70" i="65" s="1"/>
  <c r="Q69" i="34"/>
  <c r="Q69" i="65" s="1"/>
  <c r="Q66" i="34"/>
  <c r="Q66" i="65" s="1"/>
  <c r="Q64" i="34"/>
  <c r="Q64" i="65" s="1"/>
  <c r="Q63" i="34"/>
  <c r="Q63" i="65" s="1"/>
  <c r="Q62" i="34"/>
  <c r="Q62" i="65" s="1"/>
  <c r="Q61" i="34"/>
  <c r="Q61" i="65" s="1"/>
  <c r="Q60" i="34"/>
  <c r="Q60" i="65" s="1"/>
  <c r="Q54" i="34"/>
  <c r="Q54" i="65" s="1"/>
  <c r="Q53" i="34"/>
  <c r="Q53" i="65" s="1"/>
  <c r="Q52" i="34"/>
  <c r="Q52" i="65" s="1"/>
  <c r="Q51" i="34"/>
  <c r="Q51" i="65" s="1"/>
  <c r="Q50" i="34"/>
  <c r="Q50" i="65" s="1"/>
  <c r="Q49" i="34"/>
  <c r="Q49" i="65" s="1"/>
  <c r="Q48" i="34"/>
  <c r="Q48" i="65" s="1"/>
  <c r="Q47" i="34"/>
  <c r="Q47" i="65" s="1"/>
  <c r="N55" i="34"/>
  <c r="N55" i="65" s="1"/>
  <c r="Q20" i="34"/>
  <c r="Q20" i="65" s="1"/>
  <c r="Q19" i="34"/>
  <c r="Q19" i="65" s="1"/>
  <c r="Q18" i="34"/>
  <c r="Q18" i="65" s="1"/>
  <c r="Q17" i="34"/>
  <c r="Q17" i="65" s="1"/>
  <c r="Q16" i="34"/>
  <c r="Q16" i="65" s="1"/>
  <c r="Q15" i="34"/>
  <c r="Q15" i="65" s="1"/>
  <c r="Q14" i="34"/>
  <c r="Q14" i="65" s="1"/>
  <c r="Q13" i="34"/>
  <c r="Q13" i="65" s="1"/>
  <c r="Q12" i="34"/>
  <c r="Q12" i="65" s="1"/>
  <c r="Q11" i="34"/>
  <c r="Q11" i="65" s="1"/>
  <c r="Q35" i="34"/>
  <c r="Q35" i="65" s="1"/>
  <c r="Q34" i="34"/>
  <c r="Q34" i="65" s="1"/>
  <c r="Q33" i="34"/>
  <c r="Q33" i="65" s="1"/>
  <c r="Q32" i="34"/>
  <c r="Q32" i="65" s="1"/>
  <c r="Q31" i="34"/>
  <c r="Q31" i="65" s="1"/>
  <c r="Q30" i="34"/>
  <c r="Q30" i="65" s="1"/>
  <c r="Q29" i="34"/>
  <c r="Q29" i="65" s="1"/>
  <c r="Q28" i="34"/>
  <c r="Q28" i="65" s="1"/>
  <c r="Q27" i="34"/>
  <c r="Q27" i="65" s="1"/>
  <c r="Q25" i="34"/>
  <c r="Q25" i="65" s="1"/>
  <c r="Q24" i="34"/>
  <c r="Q24" i="65" s="1"/>
  <c r="Q23" i="34"/>
  <c r="Q23" i="65" s="1"/>
  <c r="N23" i="34"/>
  <c r="N23" i="65" s="1"/>
  <c r="N19" i="34"/>
  <c r="N19" i="65" s="1"/>
  <c r="N18" i="34"/>
  <c r="N18" i="65" s="1"/>
  <c r="N17" i="34"/>
  <c r="N17" i="65" s="1"/>
  <c r="N16" i="34"/>
  <c r="N16" i="65" s="1"/>
  <c r="N15" i="34"/>
  <c r="N15" i="65" s="1"/>
  <c r="N14" i="34"/>
  <c r="N14" i="65" s="1"/>
  <c r="N13" i="34"/>
  <c r="N13" i="65" s="1"/>
  <c r="N11" i="34"/>
  <c r="N11" i="65" s="1"/>
  <c r="AB113" i="49"/>
  <c r="AB79"/>
  <c r="AC66"/>
  <c r="AC65"/>
  <c r="Q67" i="34" s="1"/>
  <c r="Q67" i="65" s="1"/>
  <c r="AC63" i="49"/>
  <c r="AC57"/>
  <c r="AC56"/>
  <c r="AB66"/>
  <c r="AB65"/>
  <c r="AB64"/>
  <c r="AB63"/>
  <c r="AB61"/>
  <c r="AB60"/>
  <c r="AB59"/>
  <c r="AB57"/>
  <c r="AB56"/>
  <c r="AB49"/>
  <c r="AC45"/>
  <c r="AB45"/>
  <c r="AB34"/>
  <c r="AB33"/>
  <c r="AB30"/>
  <c r="AB29"/>
  <c r="AB28"/>
  <c r="AB25"/>
  <c r="AB24"/>
  <c r="AB23"/>
  <c r="AB11"/>
  <c r="S34"/>
  <c r="S34" i="64" s="1"/>
  <c r="S32" i="49"/>
  <c r="S31"/>
  <c r="S27"/>
  <c r="S26"/>
  <c r="S26" i="64" s="1"/>
  <c r="S118" i="49"/>
  <c r="S117"/>
  <c r="S116"/>
  <c r="S115"/>
  <c r="S114"/>
  <c r="S110"/>
  <c r="U110" s="1"/>
  <c r="S109"/>
  <c r="U109" s="1"/>
  <c r="S108"/>
  <c r="U108" s="1"/>
  <c r="S107"/>
  <c r="S106"/>
  <c r="S105"/>
  <c r="U105" s="1"/>
  <c r="S102"/>
  <c r="S101"/>
  <c r="U101" s="1"/>
  <c r="S100"/>
  <c r="S99"/>
  <c r="S98"/>
  <c r="S97"/>
  <c r="U97" s="1"/>
  <c r="S94"/>
  <c r="S93"/>
  <c r="U93" s="1"/>
  <c r="S92"/>
  <c r="U92" s="1"/>
  <c r="S91"/>
  <c r="S90"/>
  <c r="S89"/>
  <c r="U89" s="1"/>
  <c r="S86"/>
  <c r="S86" i="64" s="1"/>
  <c r="S85" i="49"/>
  <c r="S85" i="64" s="1"/>
  <c r="S84" i="49"/>
  <c r="S84" i="64" s="1"/>
  <c r="S83" i="49"/>
  <c r="S83" i="64" s="1"/>
  <c r="S82" i="49"/>
  <c r="S81"/>
  <c r="S80"/>
  <c r="S80" i="64" s="1"/>
  <c r="S76" i="49"/>
  <c r="U76" s="1"/>
  <c r="S75"/>
  <c r="S74"/>
  <c r="U74" s="1"/>
  <c r="S73"/>
  <c r="U73" s="1"/>
  <c r="S72"/>
  <c r="U72" s="1"/>
  <c r="S71"/>
  <c r="S68"/>
  <c r="S67"/>
  <c r="S62"/>
  <c r="S62" i="64" s="1"/>
  <c r="S58" i="49"/>
  <c r="S58" i="64" s="1"/>
  <c r="S53" i="49"/>
  <c r="S52"/>
  <c r="S51"/>
  <c r="S51" i="64" s="1"/>
  <c r="S50" i="49"/>
  <c r="S50" i="64" s="1"/>
  <c r="S48" i="49"/>
  <c r="S47"/>
  <c r="S46"/>
  <c r="S42"/>
  <c r="S41"/>
  <c r="S40"/>
  <c r="S39"/>
  <c r="S38"/>
  <c r="U107"/>
  <c r="U106"/>
  <c r="U102"/>
  <c r="U100"/>
  <c r="U99"/>
  <c r="U98"/>
  <c r="U94"/>
  <c r="U91"/>
  <c r="U90"/>
  <c r="U75"/>
  <c r="U71"/>
  <c r="J105" i="34"/>
  <c r="J105" i="65" s="1"/>
  <c r="J111" s="1"/>
  <c r="J85" i="34"/>
  <c r="J85" i="65" s="1"/>
  <c r="J82" i="34"/>
  <c r="J82" i="65" s="1"/>
  <c r="I82" i="34"/>
  <c r="I82" i="65" s="1"/>
  <c r="J70" i="34"/>
  <c r="J70" i="65" s="1"/>
  <c r="I70" i="34"/>
  <c r="I70" i="65" s="1"/>
  <c r="J69" i="34"/>
  <c r="J69" i="65" s="1"/>
  <c r="J68" i="34"/>
  <c r="J68" i="65" s="1"/>
  <c r="J64" i="34"/>
  <c r="J64" i="65" s="1"/>
  <c r="I64" i="34"/>
  <c r="I64" i="65" s="1"/>
  <c r="J63" i="34"/>
  <c r="J63" i="65" s="1"/>
  <c r="I63" i="34"/>
  <c r="I63" i="65" s="1"/>
  <c r="J60" i="34"/>
  <c r="J60" i="65" s="1"/>
  <c r="J54" i="34"/>
  <c r="J54" i="65" s="1"/>
  <c r="I54" i="34"/>
  <c r="I54" i="65" s="1"/>
  <c r="J52" i="34"/>
  <c r="J52" i="65" s="1"/>
  <c r="I52" i="34"/>
  <c r="I52" i="65" s="1"/>
  <c r="J51" i="34"/>
  <c r="J51" i="65" s="1"/>
  <c r="I51" i="34"/>
  <c r="I51" i="65" s="1"/>
  <c r="J49" i="34"/>
  <c r="J49" i="65" s="1"/>
  <c r="I49" i="34"/>
  <c r="I49" i="65" s="1"/>
  <c r="J48" i="34"/>
  <c r="J48" i="65" s="1"/>
  <c r="J47" i="34"/>
  <c r="J47" i="65" s="1"/>
  <c r="I47" i="34"/>
  <c r="I47" i="65" s="1"/>
  <c r="J35" i="34"/>
  <c r="J35" i="65" s="1"/>
  <c r="I35" i="34"/>
  <c r="I35" i="65" s="1"/>
  <c r="J34" i="34"/>
  <c r="J34" i="65" s="1"/>
  <c r="J33" i="34"/>
  <c r="J33" i="65" s="1"/>
  <c r="J28" i="34"/>
  <c r="J28" i="65" s="1"/>
  <c r="I28" i="34"/>
  <c r="I28" i="65" s="1"/>
  <c r="J26" i="34"/>
  <c r="J26" i="65" s="1"/>
  <c r="J25" i="34"/>
  <c r="J25" i="65" s="1"/>
  <c r="I25" i="34"/>
  <c r="I25" i="65" s="1"/>
  <c r="J24" i="34"/>
  <c r="J24" i="65" s="1"/>
  <c r="I24" i="34"/>
  <c r="I24" i="65" s="1"/>
  <c r="J23" i="34"/>
  <c r="J23" i="65" s="1"/>
  <c r="J19" i="34"/>
  <c r="J19" i="65" s="1"/>
  <c r="J17" i="34"/>
  <c r="J17" i="65" s="1"/>
  <c r="J16" i="34"/>
  <c r="J16" i="65" s="1"/>
  <c r="J12" i="34"/>
  <c r="J12" i="65" s="1"/>
  <c r="I20" i="34"/>
  <c r="I20" i="65" s="1"/>
  <c r="K20" s="1"/>
  <c r="I17" i="34"/>
  <c r="I17" i="65" s="1"/>
  <c r="K17" s="1"/>
  <c r="I16" i="34"/>
  <c r="I16" i="65" s="1"/>
  <c r="K16" s="1"/>
  <c r="I14" i="34"/>
  <c r="I14" i="65" s="1"/>
  <c r="AC113" i="34"/>
  <c r="AB113"/>
  <c r="AA113"/>
  <c r="Z113"/>
  <c r="AC105"/>
  <c r="AB105"/>
  <c r="AA105"/>
  <c r="Z105"/>
  <c r="AC85"/>
  <c r="AB85"/>
  <c r="AA85"/>
  <c r="Z85"/>
  <c r="AC84"/>
  <c r="AB84"/>
  <c r="AA84"/>
  <c r="Z84"/>
  <c r="AA83"/>
  <c r="Z83"/>
  <c r="AC82"/>
  <c r="AB82"/>
  <c r="AA82"/>
  <c r="Z82"/>
  <c r="AA81"/>
  <c r="Z81"/>
  <c r="AC70"/>
  <c r="AB70"/>
  <c r="AA70"/>
  <c r="Z70"/>
  <c r="AC69"/>
  <c r="AB69"/>
  <c r="AA69"/>
  <c r="Z69"/>
  <c r="AC68"/>
  <c r="AB68"/>
  <c r="AA68"/>
  <c r="Z68"/>
  <c r="AC67"/>
  <c r="AB67"/>
  <c r="AA67"/>
  <c r="Z67"/>
  <c r="AC66"/>
  <c r="AB66"/>
  <c r="AA66"/>
  <c r="Z66"/>
  <c r="AC65"/>
  <c r="AB65"/>
  <c r="AA65"/>
  <c r="Z65"/>
  <c r="AC64"/>
  <c r="AB64"/>
  <c r="AA64"/>
  <c r="Z64"/>
  <c r="AC63"/>
  <c r="AB63"/>
  <c r="AA63"/>
  <c r="Z63"/>
  <c r="AC62"/>
  <c r="AB62"/>
  <c r="AA62"/>
  <c r="Z62"/>
  <c r="AC61"/>
  <c r="AB61"/>
  <c r="AA61"/>
  <c r="Z61"/>
  <c r="AC60"/>
  <c r="AB60"/>
  <c r="AA60"/>
  <c r="Z60"/>
  <c r="AC59"/>
  <c r="AB59"/>
  <c r="AA59"/>
  <c r="Z59"/>
  <c r="AC58"/>
  <c r="AB58"/>
  <c r="AA58"/>
  <c r="Z58"/>
  <c r="AC53"/>
  <c r="AB53"/>
  <c r="AA53"/>
  <c r="Z53"/>
  <c r="AC52"/>
  <c r="AB52"/>
  <c r="AA52"/>
  <c r="Z52"/>
  <c r="AC51"/>
  <c r="AB51"/>
  <c r="AA51"/>
  <c r="Z51"/>
  <c r="AC50"/>
  <c r="AB50"/>
  <c r="AA50"/>
  <c r="Z50"/>
  <c r="AC49"/>
  <c r="AB49"/>
  <c r="AA49"/>
  <c r="Z49"/>
  <c r="AC48"/>
  <c r="AB48"/>
  <c r="AA48"/>
  <c r="Z48"/>
  <c r="AC47"/>
  <c r="AB47"/>
  <c r="AA47"/>
  <c r="Z47"/>
  <c r="AC46"/>
  <c r="AB46"/>
  <c r="AA46"/>
  <c r="Z46"/>
  <c r="AA35"/>
  <c r="Z35"/>
  <c r="AC34"/>
  <c r="AB34"/>
  <c r="AA34"/>
  <c r="Z34"/>
  <c r="AC33"/>
  <c r="AB33"/>
  <c r="AA33"/>
  <c r="Z33"/>
  <c r="AC32"/>
  <c r="AB32"/>
  <c r="AA32"/>
  <c r="Z32"/>
  <c r="AC31"/>
  <c r="AB31"/>
  <c r="AA31"/>
  <c r="Z31"/>
  <c r="AC30"/>
  <c r="AB30"/>
  <c r="AA30"/>
  <c r="Z30"/>
  <c r="AC29"/>
  <c r="AB29"/>
  <c r="AA29"/>
  <c r="Z29"/>
  <c r="AC28"/>
  <c r="AB28"/>
  <c r="AA28"/>
  <c r="Z28"/>
  <c r="AC27"/>
  <c r="AB27"/>
  <c r="AA27"/>
  <c r="Z27"/>
  <c r="AC26"/>
  <c r="AB26"/>
  <c r="AA26"/>
  <c r="Z26"/>
  <c r="AC25"/>
  <c r="AB25"/>
  <c r="AA25"/>
  <c r="Z25"/>
  <c r="AC24"/>
  <c r="AB24"/>
  <c r="AA24"/>
  <c r="Z24"/>
  <c r="AA23"/>
  <c r="Z23"/>
  <c r="AC20"/>
  <c r="AB20"/>
  <c r="AC19"/>
  <c r="AB19"/>
  <c r="AC18"/>
  <c r="AB18"/>
  <c r="AC17"/>
  <c r="AB17"/>
  <c r="AC16"/>
  <c r="AB16"/>
  <c r="AC15"/>
  <c r="AB15"/>
  <c r="AC14"/>
  <c r="AB14"/>
  <c r="AC13"/>
  <c r="AB13"/>
  <c r="AC12"/>
  <c r="AB12"/>
  <c r="AC11"/>
  <c r="AB11"/>
  <c r="AA20"/>
  <c r="AA19"/>
  <c r="AA18"/>
  <c r="AA17"/>
  <c r="AA16"/>
  <c r="AA15"/>
  <c r="AA14"/>
  <c r="AA13"/>
  <c r="AA12"/>
  <c r="AA11"/>
  <c r="Z20"/>
  <c r="Z19"/>
  <c r="Z18"/>
  <c r="Z17"/>
  <c r="Z16"/>
  <c r="Z15"/>
  <c r="Z14"/>
  <c r="Z13"/>
  <c r="Z12"/>
  <c r="Z11"/>
  <c r="W119" i="49"/>
  <c r="V119"/>
  <c r="T119"/>
  <c r="R119"/>
  <c r="Q119"/>
  <c r="N119"/>
  <c r="K119"/>
  <c r="J119"/>
  <c r="H119"/>
  <c r="W111"/>
  <c r="V111"/>
  <c r="T111"/>
  <c r="R111"/>
  <c r="Q111"/>
  <c r="P111"/>
  <c r="O111"/>
  <c r="N111"/>
  <c r="K111"/>
  <c r="W87"/>
  <c r="V87"/>
  <c r="T87"/>
  <c r="N87"/>
  <c r="H87"/>
  <c r="W69"/>
  <c r="V69"/>
  <c r="N69"/>
  <c r="W54"/>
  <c r="V54"/>
  <c r="N54"/>
  <c r="W36"/>
  <c r="V36"/>
  <c r="N36"/>
  <c r="W20"/>
  <c r="V20"/>
  <c r="T20"/>
  <c r="R20"/>
  <c r="N20"/>
  <c r="G85" i="34"/>
  <c r="G85" i="65" s="1"/>
  <c r="G84" i="34"/>
  <c r="G84" i="65" s="1"/>
  <c r="G83" i="34"/>
  <c r="G83" i="65" s="1"/>
  <c r="G82" i="34"/>
  <c r="G82" i="65" s="1"/>
  <c r="G81" i="34"/>
  <c r="G81" i="65" s="1"/>
  <c r="F81" i="34"/>
  <c r="F81" i="65" s="1"/>
  <c r="F85" i="34"/>
  <c r="F85" i="65" s="1"/>
  <c r="F84" i="34"/>
  <c r="F84" i="65" s="1"/>
  <c r="F83" i="34"/>
  <c r="F83" i="65" s="1"/>
  <c r="F82" i="34"/>
  <c r="F82" i="65" s="1"/>
  <c r="G70" i="34"/>
  <c r="G70" i="65" s="1"/>
  <c r="F70" i="34"/>
  <c r="F70" i="65" s="1"/>
  <c r="G69" i="34"/>
  <c r="G69" i="65" s="1"/>
  <c r="F69" i="34"/>
  <c r="F69" i="65" s="1"/>
  <c r="G64" i="34"/>
  <c r="G64" i="65" s="1"/>
  <c r="F64" i="34"/>
  <c r="F64" i="65" s="1"/>
  <c r="G63" i="34"/>
  <c r="G63" i="65" s="1"/>
  <c r="F63" i="34"/>
  <c r="F63" i="65" s="1"/>
  <c r="G62" i="34"/>
  <c r="G62" i="65" s="1"/>
  <c r="F62" i="34"/>
  <c r="F62" i="65" s="1"/>
  <c r="G60" i="34"/>
  <c r="G60" i="65" s="1"/>
  <c r="F60" i="34"/>
  <c r="F60" i="65" s="1"/>
  <c r="G54" i="34"/>
  <c r="G54" i="65" s="1"/>
  <c r="F54" i="34"/>
  <c r="F54" i="65" s="1"/>
  <c r="G52" i="34"/>
  <c r="G52" i="65" s="1"/>
  <c r="F52" i="34"/>
  <c r="F52" i="65" s="1"/>
  <c r="G51" i="34"/>
  <c r="G51" i="65" s="1"/>
  <c r="F51" i="34"/>
  <c r="F51" i="65" s="1"/>
  <c r="G35" i="34"/>
  <c r="G35" i="65" s="1"/>
  <c r="F35" i="34"/>
  <c r="F35" i="65" s="1"/>
  <c r="G23" i="34"/>
  <c r="G23" i="65" s="1"/>
  <c r="F23" i="34"/>
  <c r="F23" i="65" s="1"/>
  <c r="G86" i="49"/>
  <c r="G85"/>
  <c r="G84"/>
  <c r="G82"/>
  <c r="G80"/>
  <c r="G68"/>
  <c r="G68" i="64" s="1"/>
  <c r="G67" i="49"/>
  <c r="G67" i="64" s="1"/>
  <c r="G58" i="49"/>
  <c r="G58" i="64" s="1"/>
  <c r="G53" i="49"/>
  <c r="G53" i="64" s="1"/>
  <c r="G51" i="49"/>
  <c r="G48"/>
  <c r="G47"/>
  <c r="G32"/>
  <c r="I11" i="34"/>
  <c r="I11" i="65" s="1"/>
  <c r="G20" i="34"/>
  <c r="G20" i="65" s="1"/>
  <c r="F20" i="34"/>
  <c r="F20" i="65" s="1"/>
  <c r="G19" i="34"/>
  <c r="G19" i="65" s="1"/>
  <c r="F19" i="34"/>
  <c r="F19" i="65" s="1"/>
  <c r="G18" i="34"/>
  <c r="G18" i="65" s="1"/>
  <c r="F18" i="34"/>
  <c r="F18" i="65" s="1"/>
  <c r="G17" i="34"/>
  <c r="G17" i="65" s="1"/>
  <c r="F17" i="34"/>
  <c r="F17" i="65" s="1"/>
  <c r="G16" i="34"/>
  <c r="G16" i="65" s="1"/>
  <c r="F16" i="34"/>
  <c r="F16" i="65" s="1"/>
  <c r="G14" i="34"/>
  <c r="G14" i="65" s="1"/>
  <c r="F14" i="34"/>
  <c r="F14" i="65" s="1"/>
  <c r="D20" i="34"/>
  <c r="D20" i="65" s="1"/>
  <c r="C20" i="34"/>
  <c r="C20" i="65" s="1"/>
  <c r="G18" i="49"/>
  <c r="G17"/>
  <c r="G16"/>
  <c r="G15"/>
  <c r="H64"/>
  <c r="H64" i="64" s="1"/>
  <c r="H32" i="49"/>
  <c r="T57"/>
  <c r="H57"/>
  <c r="H57" i="64" s="1"/>
  <c r="H52" i="49"/>
  <c r="H52" i="64" s="1"/>
  <c r="H59" i="49"/>
  <c r="H59" i="64" s="1"/>
  <c r="D23" i="49"/>
  <c r="D23" i="64" s="1"/>
  <c r="C23" i="49"/>
  <c r="C23" i="64" s="1"/>
  <c r="H29" i="49"/>
  <c r="T56"/>
  <c r="H56"/>
  <c r="J12"/>
  <c r="H11"/>
  <c r="J11"/>
  <c r="J11" i="64" s="1"/>
  <c r="H66" i="49"/>
  <c r="H66" i="64" s="1"/>
  <c r="H105" i="49"/>
  <c r="H105" i="64" s="1"/>
  <c r="H111" s="1"/>
  <c r="R60" i="49"/>
  <c r="R60" i="64" s="1"/>
  <c r="Q60" i="49"/>
  <c r="Q60" i="64" s="1"/>
  <c r="P60" i="49"/>
  <c r="P60" i="64" s="1"/>
  <c r="O60" i="49"/>
  <c r="H65"/>
  <c r="H65" i="64" s="1"/>
  <c r="C65" i="49"/>
  <c r="C65" i="64" s="1"/>
  <c r="H12" i="49"/>
  <c r="H27"/>
  <c r="H14"/>
  <c r="K31"/>
  <c r="J31"/>
  <c r="H31"/>
  <c r="H24"/>
  <c r="I35"/>
  <c r="M35" s="1"/>
  <c r="AI35" s="1"/>
  <c r="T25"/>
  <c r="T25" i="64" s="1"/>
  <c r="T36" s="1"/>
  <c r="H25" i="49"/>
  <c r="H47"/>
  <c r="H26"/>
  <c r="H49"/>
  <c r="H49" i="64" s="1"/>
  <c r="H48" i="49"/>
  <c r="H48" i="64" s="1"/>
  <c r="K82" i="49"/>
  <c r="J82"/>
  <c r="T63"/>
  <c r="H63"/>
  <c r="H63" i="64" s="1"/>
  <c r="G26" i="34" l="1"/>
  <c r="G26" i="65" s="1"/>
  <c r="H25" i="64"/>
  <c r="G32" i="34"/>
  <c r="G32" i="65" s="1"/>
  <c r="H31" i="64"/>
  <c r="G28" i="34"/>
  <c r="G28" i="65" s="1"/>
  <c r="H27" i="64"/>
  <c r="O60"/>
  <c r="U60" s="1"/>
  <c r="Y60" s="1"/>
  <c r="U60" i="49"/>
  <c r="I13" i="34"/>
  <c r="I13" i="65" s="1"/>
  <c r="J12" i="64"/>
  <c r="D16" i="34"/>
  <c r="D16" i="65" s="1"/>
  <c r="G15" i="64"/>
  <c r="D48" i="34"/>
  <c r="D48" i="65" s="1"/>
  <c r="G47" i="64"/>
  <c r="C84" i="34"/>
  <c r="C84" i="65" s="1"/>
  <c r="G82" i="64"/>
  <c r="N48" i="34"/>
  <c r="N48" i="65" s="1"/>
  <c r="S47" i="64"/>
  <c r="N53" i="34"/>
  <c r="N53" i="65" s="1"/>
  <c r="S52" i="64"/>
  <c r="N69" i="34"/>
  <c r="N69" i="65" s="1"/>
  <c r="S67" i="64"/>
  <c r="N32" i="34"/>
  <c r="N32" i="65" s="1"/>
  <c r="S31" i="64"/>
  <c r="I32" i="34"/>
  <c r="I32" i="65" s="1"/>
  <c r="J31" i="64"/>
  <c r="G13" i="34"/>
  <c r="G13" i="65" s="1"/>
  <c r="H12" i="64"/>
  <c r="G58" i="65"/>
  <c r="H56" i="64"/>
  <c r="H69" s="1"/>
  <c r="F58" i="65"/>
  <c r="Q59" i="34"/>
  <c r="Q59" i="65" s="1"/>
  <c r="T57" i="64"/>
  <c r="D17" i="34"/>
  <c r="D17" i="65" s="1"/>
  <c r="G16" i="64"/>
  <c r="C49" i="34"/>
  <c r="C49" i="65" s="1"/>
  <c r="G48" i="64"/>
  <c r="N49" i="34"/>
  <c r="N49" i="65" s="1"/>
  <c r="S48" i="64"/>
  <c r="N54" i="34"/>
  <c r="N54" i="65" s="1"/>
  <c r="S53" i="64"/>
  <c r="N70" i="34"/>
  <c r="N70" i="65" s="1"/>
  <c r="S68" i="64"/>
  <c r="N83" i="34"/>
  <c r="N83" i="65" s="1"/>
  <c r="S81" i="64"/>
  <c r="N33" i="34"/>
  <c r="N33" i="65" s="1"/>
  <c r="S32" i="64"/>
  <c r="Q65" i="34"/>
  <c r="Q65" i="65" s="1"/>
  <c r="T63" i="64"/>
  <c r="J32" i="34"/>
  <c r="J32" i="65" s="1"/>
  <c r="K31" i="64"/>
  <c r="L11"/>
  <c r="T56"/>
  <c r="Q58" i="65"/>
  <c r="S58" s="1"/>
  <c r="G33" i="34"/>
  <c r="G33" i="65" s="1"/>
  <c r="H32" i="64"/>
  <c r="C18" i="34"/>
  <c r="C18" i="65" s="1"/>
  <c r="G17" i="64"/>
  <c r="D52" i="34"/>
  <c r="D52" i="65" s="1"/>
  <c r="G51" i="64"/>
  <c r="N84" i="34"/>
  <c r="N84" i="65" s="1"/>
  <c r="S82" i="64"/>
  <c r="I84" i="34"/>
  <c r="I84" i="65" s="1"/>
  <c r="J82" i="64"/>
  <c r="F27" i="34"/>
  <c r="F27" i="65" s="1"/>
  <c r="H26" i="64"/>
  <c r="J84" i="34"/>
  <c r="J84" i="65" s="1"/>
  <c r="K84" s="1"/>
  <c r="K82" i="64"/>
  <c r="L82" s="1"/>
  <c r="F48" i="34"/>
  <c r="F48" i="65" s="1"/>
  <c r="H47" i="64"/>
  <c r="G25" i="34"/>
  <c r="G25" i="65" s="1"/>
  <c r="H24" i="64"/>
  <c r="G15" i="34"/>
  <c r="G15" i="65" s="1"/>
  <c r="H14" i="64"/>
  <c r="G12" i="34"/>
  <c r="G12" i="65" s="1"/>
  <c r="H11" i="64"/>
  <c r="G30" i="34"/>
  <c r="G30" i="65" s="1"/>
  <c r="H29" i="64"/>
  <c r="C19" i="34"/>
  <c r="C19" i="65" s="1"/>
  <c r="G18" i="64"/>
  <c r="D33" i="34"/>
  <c r="D33" i="65" s="1"/>
  <c r="G32" i="64"/>
  <c r="C82" i="34"/>
  <c r="C82" i="65" s="1"/>
  <c r="G80" i="64"/>
  <c r="N47" i="34"/>
  <c r="N47" i="65" s="1"/>
  <c r="S46" i="64"/>
  <c r="N28" i="34"/>
  <c r="N28" i="65" s="1"/>
  <c r="S27" i="64"/>
  <c r="K11" i="65"/>
  <c r="G87"/>
  <c r="K70"/>
  <c r="F87"/>
  <c r="K64"/>
  <c r="K63"/>
  <c r="K82"/>
  <c r="Q21"/>
  <c r="C17" i="34"/>
  <c r="C17" i="65" s="1"/>
  <c r="F30" i="34"/>
  <c r="F30" i="65" s="1"/>
  <c r="G48" i="34"/>
  <c r="G48" i="65" s="1"/>
  <c r="F33" i="34"/>
  <c r="F33" i="65" s="1"/>
  <c r="D19" i="34"/>
  <c r="D19" i="65" s="1"/>
  <c r="F15" i="34"/>
  <c r="F15" i="65" s="1"/>
  <c r="F25" i="34"/>
  <c r="F25" i="65" s="1"/>
  <c r="C33" i="34"/>
  <c r="C33" i="65" s="1"/>
  <c r="G27" i="34"/>
  <c r="G27" i="65" s="1"/>
  <c r="G50" i="34"/>
  <c r="G50" i="65" s="1"/>
  <c r="F50" i="34"/>
  <c r="F50" i="65" s="1"/>
  <c r="C16" i="34"/>
  <c r="C16" i="65" s="1"/>
  <c r="F13" i="34"/>
  <c r="F13" i="65" s="1"/>
  <c r="I12" i="34"/>
  <c r="I12" i="65" s="1"/>
  <c r="K12" s="1"/>
  <c r="Q58" i="34"/>
  <c r="G61"/>
  <c r="G61" i="65" s="1"/>
  <c r="F61" i="34"/>
  <c r="F61" i="65" s="1"/>
  <c r="D18" i="34"/>
  <c r="D18" i="65" s="1"/>
  <c r="D60" i="34"/>
  <c r="D60" i="65" s="1"/>
  <c r="C60" i="34"/>
  <c r="C60" i="65" s="1"/>
  <c r="F28" i="34"/>
  <c r="F28" i="65" s="1"/>
  <c r="G58" i="34"/>
  <c r="H69" i="49"/>
  <c r="F58" i="34"/>
  <c r="G66"/>
  <c r="G66" i="65" s="1"/>
  <c r="F66" i="34"/>
  <c r="F66" i="65" s="1"/>
  <c r="F12" i="34"/>
  <c r="F12" i="65" s="1"/>
  <c r="D69" i="34"/>
  <c r="D69" i="65" s="1"/>
  <c r="C69" i="34"/>
  <c r="C69" i="65" s="1"/>
  <c r="F26" i="34"/>
  <c r="F26" i="65" s="1"/>
  <c r="T36" i="49"/>
  <c r="Q26" i="34"/>
  <c r="Q26" i="65" s="1"/>
  <c r="Q36" s="1"/>
  <c r="G68" i="34"/>
  <c r="G68" i="65" s="1"/>
  <c r="F68" i="34"/>
  <c r="F68" i="65" s="1"/>
  <c r="G67" i="34"/>
  <c r="G67" i="65" s="1"/>
  <c r="F67" i="34"/>
  <c r="F67" i="65" s="1"/>
  <c r="G53" i="34"/>
  <c r="G53" i="65" s="1"/>
  <c r="F53" i="34"/>
  <c r="F53" i="65" s="1"/>
  <c r="G65" i="34"/>
  <c r="G65" i="65" s="1"/>
  <c r="F65" i="34"/>
  <c r="F65" i="65" s="1"/>
  <c r="G49" i="34"/>
  <c r="G49" i="65" s="1"/>
  <c r="F49" i="34"/>
  <c r="F49" i="65" s="1"/>
  <c r="S60" i="49"/>
  <c r="S60" i="64" s="1"/>
  <c r="G105" i="34"/>
  <c r="G105" i="65" s="1"/>
  <c r="G111" s="1"/>
  <c r="F105" i="34"/>
  <c r="F105" i="65" s="1"/>
  <c r="F111" s="1"/>
  <c r="H111" i="49"/>
  <c r="G59" i="34"/>
  <c r="G59" i="65" s="1"/>
  <c r="F59" i="34"/>
  <c r="F59" i="65" s="1"/>
  <c r="D70" i="34"/>
  <c r="D70" i="65" s="1"/>
  <c r="C70" i="34"/>
  <c r="C70" i="65" s="1"/>
  <c r="F32" i="34"/>
  <c r="F32" i="65" s="1"/>
  <c r="N52" i="34"/>
  <c r="N52" i="65" s="1"/>
  <c r="N60" i="34"/>
  <c r="N60" i="65" s="1"/>
  <c r="N64" i="34"/>
  <c r="N64" i="65" s="1"/>
  <c r="N85" i="34"/>
  <c r="N85" i="65" s="1"/>
  <c r="N82" i="34"/>
  <c r="N82" i="65" s="1"/>
  <c r="N86" i="34"/>
  <c r="N86" i="65" s="1"/>
  <c r="N27" i="34"/>
  <c r="N27" i="65" s="1"/>
  <c r="N35" i="34"/>
  <c r="N35" i="65" s="1"/>
  <c r="U111" i="49"/>
  <c r="N51" i="34"/>
  <c r="N51" i="65" s="1"/>
  <c r="C48" i="34"/>
  <c r="C48" i="65" s="1"/>
  <c r="C52" i="34"/>
  <c r="C52" i="65" s="1"/>
  <c r="D84" i="34"/>
  <c r="D84" i="65" s="1"/>
  <c r="D49" i="34"/>
  <c r="D49" i="65" s="1"/>
  <c r="D82" i="34"/>
  <c r="D82" i="65" s="1"/>
  <c r="Y67" i="49"/>
  <c r="J67"/>
  <c r="J67" i="64" s="1"/>
  <c r="L67" s="1"/>
  <c r="M67" s="1"/>
  <c r="Z67" s="1"/>
  <c r="AI67" s="1"/>
  <c r="H58" i="65" l="1"/>
  <c r="L31" i="64"/>
  <c r="F71" i="65"/>
  <c r="G71"/>
  <c r="L67" i="49"/>
  <c r="M67" s="1"/>
  <c r="AI67" s="1"/>
  <c r="I69" i="34"/>
  <c r="I69" i="65" s="1"/>
  <c r="K69" s="1"/>
  <c r="N62" i="34"/>
  <c r="N62" i="65" s="1"/>
  <c r="Z67" i="49"/>
  <c r="I53"/>
  <c r="I53" i="64" s="1"/>
  <c r="M53" s="1"/>
  <c r="W43" i="49"/>
  <c r="V43"/>
  <c r="T43"/>
  <c r="R43"/>
  <c r="Q43"/>
  <c r="P43"/>
  <c r="O43"/>
  <c r="N43"/>
  <c r="K43"/>
  <c r="J43"/>
  <c r="H43"/>
  <c r="F43"/>
  <c r="E43"/>
  <c r="D43"/>
  <c r="C43"/>
  <c r="X41"/>
  <c r="L41"/>
  <c r="I41"/>
  <c r="M41" s="1"/>
  <c r="X40"/>
  <c r="L40"/>
  <c r="I40"/>
  <c r="X39"/>
  <c r="L39"/>
  <c r="I39"/>
  <c r="M39" s="1"/>
  <c r="X38"/>
  <c r="L38"/>
  <c r="I38"/>
  <c r="I48"/>
  <c r="I48" i="64" s="1"/>
  <c r="M48" s="1"/>
  <c r="Z48" s="1"/>
  <c r="AI48" s="1"/>
  <c r="L48" i="49"/>
  <c r="X48"/>
  <c r="AE48"/>
  <c r="M40" l="1"/>
  <c r="Z53" i="64"/>
  <c r="AI53" s="1"/>
  <c r="Y41" i="49"/>
  <c r="M38"/>
  <c r="Y38"/>
  <c r="Y39"/>
  <c r="Y40"/>
  <c r="M48"/>
  <c r="Y48"/>
  <c r="G61" i="48" l="1"/>
  <c r="Z38" i="49"/>
  <c r="AI38" s="1"/>
  <c r="Z40"/>
  <c r="AI40" s="1"/>
  <c r="Z41"/>
  <c r="AI41" s="1"/>
  <c r="Z39"/>
  <c r="AI39" s="1"/>
  <c r="Z48"/>
  <c r="AI48" s="1"/>
  <c r="K30" l="1"/>
  <c r="J30"/>
  <c r="H30"/>
  <c r="H30" i="64" s="1"/>
  <c r="P30" i="49"/>
  <c r="P30" i="64" s="1"/>
  <c r="O30" i="49"/>
  <c r="E30"/>
  <c r="E30" i="64" s="1"/>
  <c r="D30" i="49"/>
  <c r="D30" i="64" s="1"/>
  <c r="C30" i="49"/>
  <c r="C30" i="64" s="1"/>
  <c r="I31" i="34" l="1"/>
  <c r="I31" i="65" s="1"/>
  <c r="J30" i="64"/>
  <c r="L30" s="1"/>
  <c r="S30" i="49"/>
  <c r="S30" i="64" s="1"/>
  <c r="O30"/>
  <c r="U30" s="1"/>
  <c r="Y30" s="1"/>
  <c r="U30" i="49"/>
  <c r="J31" i="34"/>
  <c r="J31" i="65" s="1"/>
  <c r="K30" i="64"/>
  <c r="G31" i="34"/>
  <c r="G31" i="65" s="1"/>
  <c r="F31" i="34"/>
  <c r="F31" i="65" s="1"/>
  <c r="N31" i="34"/>
  <c r="N31" i="65" s="1"/>
  <c r="G30" i="49"/>
  <c r="G30" i="64" s="1"/>
  <c r="G139" i="48"/>
  <c r="C31" i="34" l="1"/>
  <c r="C31" i="65" s="1"/>
  <c r="D31" i="34"/>
  <c r="D31" i="65" s="1"/>
  <c r="K64" i="49" l="1"/>
  <c r="J64"/>
  <c r="Q64"/>
  <c r="Q64" i="64" s="1"/>
  <c r="P64" i="49"/>
  <c r="P64" i="64" s="1"/>
  <c r="O64" i="49"/>
  <c r="F64"/>
  <c r="F64" i="64" s="1"/>
  <c r="E64" i="49"/>
  <c r="E64" i="64" s="1"/>
  <c r="D64" i="49"/>
  <c r="D64" i="64" s="1"/>
  <c r="C64" i="49"/>
  <c r="C64" i="64" s="1"/>
  <c r="J22" i="49"/>
  <c r="J22" i="64" s="1"/>
  <c r="F22" i="49"/>
  <c r="F22" i="64" s="1"/>
  <c r="E22" i="49"/>
  <c r="E22" i="64" s="1"/>
  <c r="D22" i="49"/>
  <c r="D22" i="64" s="1"/>
  <c r="C22" i="49"/>
  <c r="C22" i="64" s="1"/>
  <c r="O11" i="49"/>
  <c r="P11"/>
  <c r="Q11"/>
  <c r="O113"/>
  <c r="U113" s="1"/>
  <c r="N113" i="65" s="1"/>
  <c r="P113" i="49"/>
  <c r="P119" s="1"/>
  <c r="O49"/>
  <c r="P49"/>
  <c r="P49" i="64" s="1"/>
  <c r="Q49" i="49"/>
  <c r="Q49" i="64" s="1"/>
  <c r="R49" i="49"/>
  <c r="O23"/>
  <c r="P23"/>
  <c r="P23" i="64" s="1"/>
  <c r="Q23" i="49"/>
  <c r="Q23" i="64" s="1"/>
  <c r="R23" i="49"/>
  <c r="R23" i="64" s="1"/>
  <c r="R24" i="49"/>
  <c r="O25"/>
  <c r="P25"/>
  <c r="P25" i="64" s="1"/>
  <c r="Q25" i="49"/>
  <c r="Q25" i="64" s="1"/>
  <c r="R25" i="49"/>
  <c r="R25" i="64" s="1"/>
  <c r="O28" i="49"/>
  <c r="Q28"/>
  <c r="Q28" i="64" s="1"/>
  <c r="O29" i="49"/>
  <c r="P29"/>
  <c r="P29" i="64" s="1"/>
  <c r="P63" i="49"/>
  <c r="Q63"/>
  <c r="Q63" i="64" s="1"/>
  <c r="R63" i="49"/>
  <c r="R63" i="64" s="1"/>
  <c r="O65" i="49"/>
  <c r="P65"/>
  <c r="P65" i="64" s="1"/>
  <c r="Q65" i="49"/>
  <c r="Q65" i="64" s="1"/>
  <c r="R65" i="49"/>
  <c r="R65" i="64" s="1"/>
  <c r="O45" i="49"/>
  <c r="P45"/>
  <c r="Q45"/>
  <c r="T45"/>
  <c r="T45" i="64" s="1"/>
  <c r="T54" s="1"/>
  <c r="O33" i="49"/>
  <c r="P33"/>
  <c r="P33" i="64" s="1"/>
  <c r="O56" i="49"/>
  <c r="O61"/>
  <c r="P61"/>
  <c r="P61" i="64" s="1"/>
  <c r="Q61" i="49"/>
  <c r="Q61" i="64" s="1"/>
  <c r="R61" i="49"/>
  <c r="R61" i="64" s="1"/>
  <c r="O57" i="49"/>
  <c r="P57"/>
  <c r="P57" i="64" s="1"/>
  <c r="Q57" i="49"/>
  <c r="Q57" i="64" s="1"/>
  <c r="Q69" s="1"/>
  <c r="R57" i="49"/>
  <c r="O59"/>
  <c r="P59"/>
  <c r="P59" i="64" s="1"/>
  <c r="R59" i="49"/>
  <c r="R59" i="64" s="1"/>
  <c r="O79" i="49"/>
  <c r="P79"/>
  <c r="Q79"/>
  <c r="R79"/>
  <c r="O66"/>
  <c r="P66"/>
  <c r="P66" i="64" s="1"/>
  <c r="Q66" i="49"/>
  <c r="Q66" i="64" s="1"/>
  <c r="R66" i="49"/>
  <c r="R66" i="64" s="1"/>
  <c r="T66" i="49"/>
  <c r="T66" i="64" s="1"/>
  <c r="T69" s="1"/>
  <c r="G50" i="2"/>
  <c r="G45"/>
  <c r="G10"/>
  <c r="G18"/>
  <c r="G60"/>
  <c r="G59"/>
  <c r="G58"/>
  <c r="G57"/>
  <c r="G56"/>
  <c r="G55"/>
  <c r="G54"/>
  <c r="G53"/>
  <c r="G52"/>
  <c r="G51"/>
  <c r="G49"/>
  <c r="G48"/>
  <c r="G47"/>
  <c r="G46"/>
  <c r="G43"/>
  <c r="G41"/>
  <c r="G40"/>
  <c r="G39"/>
  <c r="G38"/>
  <c r="G37"/>
  <c r="G36"/>
  <c r="G35"/>
  <c r="G34"/>
  <c r="G33"/>
  <c r="G32"/>
  <c r="G28"/>
  <c r="G23"/>
  <c r="G22"/>
  <c r="G21"/>
  <c r="G20"/>
  <c r="G19"/>
  <c r="G16"/>
  <c r="G14"/>
  <c r="G13"/>
  <c r="G12"/>
  <c r="G11"/>
  <c r="S66" i="49" l="1"/>
  <c r="S66" i="64" s="1"/>
  <c r="O66"/>
  <c r="U66" s="1"/>
  <c r="Y66" s="1"/>
  <c r="U66" i="49"/>
  <c r="O79" i="64"/>
  <c r="U79" i="49"/>
  <c r="R69"/>
  <c r="R57" i="64"/>
  <c r="R69" s="1"/>
  <c r="O56"/>
  <c r="U56" i="49"/>
  <c r="Q54"/>
  <c r="Q45" i="64"/>
  <c r="Q54" s="1"/>
  <c r="Q36"/>
  <c r="N119" i="65"/>
  <c r="P113"/>
  <c r="L22" i="64"/>
  <c r="I66" i="34"/>
  <c r="I66" i="65" s="1"/>
  <c r="J64" i="64"/>
  <c r="R87" i="49"/>
  <c r="R79" i="64"/>
  <c r="R87" s="1"/>
  <c r="P54" i="49"/>
  <c r="P45" i="64"/>
  <c r="P54" s="1"/>
  <c r="P63"/>
  <c r="U63" s="1"/>
  <c r="Y63" s="1"/>
  <c r="U63" i="49"/>
  <c r="O28" i="64"/>
  <c r="U28" s="1"/>
  <c r="Y28" s="1"/>
  <c r="U28" i="49"/>
  <c r="O25" i="64"/>
  <c r="U25" s="1"/>
  <c r="Y25" s="1"/>
  <c r="U25" i="49"/>
  <c r="P36" i="64"/>
  <c r="Q20" i="49"/>
  <c r="Q11" i="64"/>
  <c r="Q20" s="1"/>
  <c r="S64" i="49"/>
  <c r="S64" i="64" s="1"/>
  <c r="O64"/>
  <c r="U64" s="1"/>
  <c r="Y64" s="1"/>
  <c r="U64" i="49"/>
  <c r="J66" i="34"/>
  <c r="J66" i="65" s="1"/>
  <c r="K64" i="64"/>
  <c r="Q87" i="49"/>
  <c r="Q79" i="64"/>
  <c r="Q87" s="1"/>
  <c r="P69"/>
  <c r="O33"/>
  <c r="U33" s="1"/>
  <c r="Y33" s="1"/>
  <c r="U33" i="49"/>
  <c r="O45" i="64"/>
  <c r="U45" i="49"/>
  <c r="O65" i="64"/>
  <c r="U65" s="1"/>
  <c r="Y65" s="1"/>
  <c r="U65" i="49"/>
  <c r="S24"/>
  <c r="S24" i="64" s="1"/>
  <c r="R24"/>
  <c r="U24" s="1"/>
  <c r="Y24" s="1"/>
  <c r="U24" i="49"/>
  <c r="O23" i="64"/>
  <c r="U23" i="49"/>
  <c r="O49" i="64"/>
  <c r="U49" i="49"/>
  <c r="P20"/>
  <c r="P11" i="64"/>
  <c r="P20" s="1"/>
  <c r="P87" i="49"/>
  <c r="P79" i="64"/>
  <c r="P87" s="1"/>
  <c r="O59"/>
  <c r="U59" s="1"/>
  <c r="Y59" s="1"/>
  <c r="U59" i="49"/>
  <c r="O57" i="64"/>
  <c r="U57" s="1"/>
  <c r="Y57" s="1"/>
  <c r="U57" i="49"/>
  <c r="O61" i="64"/>
  <c r="U61" s="1"/>
  <c r="Y61" s="1"/>
  <c r="U61" i="49"/>
  <c r="T120" i="64"/>
  <c r="O29"/>
  <c r="U29" s="1"/>
  <c r="Y29" s="1"/>
  <c r="U29" i="49"/>
  <c r="R36" i="64"/>
  <c r="R54" i="49"/>
  <c r="R49" i="64"/>
  <c r="R54" s="1"/>
  <c r="O11"/>
  <c r="U11" i="49"/>
  <c r="K66" i="65"/>
  <c r="Q36" i="49"/>
  <c r="S56"/>
  <c r="O69"/>
  <c r="G22"/>
  <c r="G22" i="64" s="1"/>
  <c r="Q69" i="49"/>
  <c r="S63"/>
  <c r="S63" i="64" s="1"/>
  <c r="S28" i="49"/>
  <c r="S28" i="64" s="1"/>
  <c r="S25" i="49"/>
  <c r="S25" i="64" s="1"/>
  <c r="P36" i="49"/>
  <c r="G64"/>
  <c r="G64" i="64" s="1"/>
  <c r="N66" i="34"/>
  <c r="N66" i="65" s="1"/>
  <c r="N68" i="34"/>
  <c r="N68" i="65" s="1"/>
  <c r="S113" i="49"/>
  <c r="O119"/>
  <c r="P69"/>
  <c r="S33"/>
  <c r="S33" i="64" s="1"/>
  <c r="S45" i="49"/>
  <c r="S45" i="64" s="1"/>
  <c r="O54" i="49"/>
  <c r="S65"/>
  <c r="S65" i="64" s="1"/>
  <c r="N25" i="34"/>
  <c r="N25" i="65" s="1"/>
  <c r="O36" i="49"/>
  <c r="S23"/>
  <c r="S23" i="64" s="1"/>
  <c r="S49" i="49"/>
  <c r="S49" i="64" s="1"/>
  <c r="Q68" i="34"/>
  <c r="Q68" i="65" s="1"/>
  <c r="Q71" s="1"/>
  <c r="T69" i="49"/>
  <c r="S79"/>
  <c r="S79" i="64" s="1"/>
  <c r="O87" i="49"/>
  <c r="I23" i="34"/>
  <c r="I23" i="65" s="1"/>
  <c r="S59" i="49"/>
  <c r="S59" i="64" s="1"/>
  <c r="S57" i="49"/>
  <c r="S57" i="64" s="1"/>
  <c r="S61" i="49"/>
  <c r="S61" i="64" s="1"/>
  <c r="T54" i="49"/>
  <c r="Q46" i="34"/>
  <c r="Q46" i="65" s="1"/>
  <c r="Q56" s="1"/>
  <c r="S29" i="49"/>
  <c r="S29" i="64" s="1"/>
  <c r="R36" i="49"/>
  <c r="S11"/>
  <c r="S11" i="64" s="1"/>
  <c r="O20" i="49"/>
  <c r="G27" i="2"/>
  <c r="U36" i="49" l="1"/>
  <c r="Q55" i="34"/>
  <c r="Q55" i="65" s="1"/>
  <c r="T120" i="49"/>
  <c r="S56" i="64"/>
  <c r="S69" s="1"/>
  <c r="S120" s="1"/>
  <c r="N58" i="65"/>
  <c r="P58" s="1"/>
  <c r="W58" s="1"/>
  <c r="O36" i="64"/>
  <c r="U23"/>
  <c r="Y23" s="1"/>
  <c r="Q120"/>
  <c r="U56"/>
  <c r="O69"/>
  <c r="O87"/>
  <c r="U79"/>
  <c r="L64"/>
  <c r="O20"/>
  <c r="U11"/>
  <c r="R120"/>
  <c r="U36"/>
  <c r="U49"/>
  <c r="Y49" s="1"/>
  <c r="P120"/>
  <c r="P119" i="65"/>
  <c r="W113"/>
  <c r="W119" s="1"/>
  <c r="O54" i="64"/>
  <c r="U45"/>
  <c r="G9" i="2"/>
  <c r="Q120" i="65"/>
  <c r="N50" i="34"/>
  <c r="N50" i="65" s="1"/>
  <c r="N29" i="34"/>
  <c r="N29" i="65" s="1"/>
  <c r="N30" i="34"/>
  <c r="N30" i="65" s="1"/>
  <c r="N59" i="34"/>
  <c r="N59" i="65" s="1"/>
  <c r="N24" i="34"/>
  <c r="N24" i="65" s="1"/>
  <c r="N67" i="34"/>
  <c r="N67" i="65" s="1"/>
  <c r="N65" i="34"/>
  <c r="N65" i="65" s="1"/>
  <c r="U20" i="49"/>
  <c r="N12" i="34"/>
  <c r="N12" i="65" s="1"/>
  <c r="N21" s="1"/>
  <c r="N63" i="34"/>
  <c r="N63" i="65" s="1"/>
  <c r="N34" i="34"/>
  <c r="N34" i="65" s="1"/>
  <c r="D66" i="34"/>
  <c r="D66" i="65" s="1"/>
  <c r="C66" i="34"/>
  <c r="C66" i="65" s="1"/>
  <c r="D23" i="34"/>
  <c r="D23" i="65" s="1"/>
  <c r="C23" i="34"/>
  <c r="C23" i="65" s="1"/>
  <c r="N61" i="34"/>
  <c r="N61" i="65" s="1"/>
  <c r="U87" i="49"/>
  <c r="N81" i="34"/>
  <c r="N81" i="65" s="1"/>
  <c r="N87" s="1"/>
  <c r="U54" i="49"/>
  <c r="N46" i="34"/>
  <c r="N46" i="65" s="1"/>
  <c r="N113" i="34"/>
  <c r="U119" i="49"/>
  <c r="N26" i="34"/>
  <c r="N26" i="65" s="1"/>
  <c r="U69" i="49"/>
  <c r="N58" i="34"/>
  <c r="S69" i="49"/>
  <c r="O120" i="64" l="1"/>
  <c r="Y11"/>
  <c r="U20"/>
  <c r="U69"/>
  <c r="Y56"/>
  <c r="Y79"/>
  <c r="U87"/>
  <c r="Y36"/>
  <c r="U54"/>
  <c r="Y45"/>
  <c r="N56" i="65"/>
  <c r="N71"/>
  <c r="N36"/>
  <c r="Y87" i="64" l="1"/>
  <c r="Y69"/>
  <c r="U120"/>
  <c r="Y54"/>
  <c r="Y20"/>
  <c r="Y120" s="1"/>
  <c r="N120" i="65"/>
  <c r="J33" i="49"/>
  <c r="H33"/>
  <c r="H33" i="64" s="1"/>
  <c r="D33" i="49"/>
  <c r="D33" i="64" s="1"/>
  <c r="C33" i="49"/>
  <c r="I34" i="34" l="1"/>
  <c r="I34" i="65" s="1"/>
  <c r="J33" i="64"/>
  <c r="L33" s="1"/>
  <c r="G33" i="49"/>
  <c r="G33" i="64" s="1"/>
  <c r="C33"/>
  <c r="J133"/>
  <c r="D34" i="34"/>
  <c r="D34" i="65" s="1"/>
  <c r="C34" i="34"/>
  <c r="C34" i="65" s="1"/>
  <c r="G34" i="34"/>
  <c r="G34" i="65" s="1"/>
  <c r="F34" i="34"/>
  <c r="F34" i="65" s="1"/>
  <c r="I10" i="25" l="1"/>
  <c r="G44" i="2"/>
  <c r="G29"/>
  <c r="F103" i="48" l="1"/>
  <c r="J32" i="49" l="1"/>
  <c r="I33" i="34" l="1"/>
  <c r="I33" i="65" s="1"/>
  <c r="J32" i="64"/>
  <c r="L32" s="1"/>
  <c r="E319" i="58"/>
  <c r="M123" i="38"/>
  <c r="J123"/>
  <c r="L115"/>
  <c r="M115" s="1"/>
  <c r="I115"/>
  <c r="J115" s="1"/>
  <c r="L112"/>
  <c r="K112"/>
  <c r="I111"/>
  <c r="L111" s="1"/>
  <c r="H111"/>
  <c r="K111" s="1"/>
  <c r="I110"/>
  <c r="L110" s="1"/>
  <c r="H110"/>
  <c r="K110" s="1"/>
  <c r="I109"/>
  <c r="L109" s="1"/>
  <c r="H109"/>
  <c r="K109" s="1"/>
  <c r="I108"/>
  <c r="L108" s="1"/>
  <c r="H108"/>
  <c r="K108" s="1"/>
  <c r="I107"/>
  <c r="L107" s="1"/>
  <c r="H107"/>
  <c r="K107" s="1"/>
  <c r="I106"/>
  <c r="L106" s="1"/>
  <c r="H106"/>
  <c r="K106" s="1"/>
  <c r="I105"/>
  <c r="L105" s="1"/>
  <c r="H105"/>
  <c r="K105" s="1"/>
  <c r="I104"/>
  <c r="L104" s="1"/>
  <c r="H104"/>
  <c r="K104" s="1"/>
  <c r="I103"/>
  <c r="L103" s="1"/>
  <c r="H103"/>
  <c r="K103" s="1"/>
  <c r="I102"/>
  <c r="L102" s="1"/>
  <c r="H102"/>
  <c r="K102" s="1"/>
  <c r="I101"/>
  <c r="L101" s="1"/>
  <c r="H101"/>
  <c r="K101" s="1"/>
  <c r="I100"/>
  <c r="L100" s="1"/>
  <c r="H100"/>
  <c r="K100" s="1"/>
  <c r="I99"/>
  <c r="L99" s="1"/>
  <c r="H99"/>
  <c r="K99" s="1"/>
  <c r="H98"/>
  <c r="K98" s="1"/>
  <c r="I97"/>
  <c r="L97" s="1"/>
  <c r="H97"/>
  <c r="K97" s="1"/>
  <c r="I96"/>
  <c r="L96" s="1"/>
  <c r="H96"/>
  <c r="K96" s="1"/>
  <c r="H95"/>
  <c r="K95" s="1"/>
  <c r="H94"/>
  <c r="K94" s="1"/>
  <c r="I93"/>
  <c r="L93" s="1"/>
  <c r="H93"/>
  <c r="K93" s="1"/>
  <c r="I92"/>
  <c r="L92" s="1"/>
  <c r="H92"/>
  <c r="K92" s="1"/>
  <c r="I91"/>
  <c r="L91" s="1"/>
  <c r="H91"/>
  <c r="K91" s="1"/>
  <c r="I90"/>
  <c r="L90" s="1"/>
  <c r="H90"/>
  <c r="K90" s="1"/>
  <c r="I89"/>
  <c r="L89" s="1"/>
  <c r="H89"/>
  <c r="K89" s="1"/>
  <c r="I88"/>
  <c r="L88" s="1"/>
  <c r="H88"/>
  <c r="K88" s="1"/>
  <c r="I87"/>
  <c r="L87" s="1"/>
  <c r="H87"/>
  <c r="K87" s="1"/>
  <c r="I86"/>
  <c r="L86" s="1"/>
  <c r="H86"/>
  <c r="K86" s="1"/>
  <c r="I85"/>
  <c r="L85" s="1"/>
  <c r="H85"/>
  <c r="K85" s="1"/>
  <c r="I84"/>
  <c r="L84" s="1"/>
  <c r="H84"/>
  <c r="K84" s="1"/>
  <c r="I83"/>
  <c r="L83" s="1"/>
  <c r="H83"/>
  <c r="K83" s="1"/>
  <c r="H82"/>
  <c r="K82" s="1"/>
  <c r="I81"/>
  <c r="L81" s="1"/>
  <c r="H81"/>
  <c r="K81" s="1"/>
  <c r="H80"/>
  <c r="K80" s="1"/>
  <c r="I79"/>
  <c r="L79" s="1"/>
  <c r="H79"/>
  <c r="K79" s="1"/>
  <c r="I78"/>
  <c r="L78" s="1"/>
  <c r="H78"/>
  <c r="K78" s="1"/>
  <c r="I77"/>
  <c r="L77" s="1"/>
  <c r="H77"/>
  <c r="K77" s="1"/>
  <c r="I76"/>
  <c r="L76" s="1"/>
  <c r="H76"/>
  <c r="K76" s="1"/>
  <c r="I75"/>
  <c r="L75" s="1"/>
  <c r="H75"/>
  <c r="K75" s="1"/>
  <c r="I74"/>
  <c r="L74" s="1"/>
  <c r="H74"/>
  <c r="K74" s="1"/>
  <c r="I73"/>
  <c r="L73" s="1"/>
  <c r="H73"/>
  <c r="K73" s="1"/>
  <c r="H72"/>
  <c r="K72" s="1"/>
  <c r="I71"/>
  <c r="L71" s="1"/>
  <c r="H71"/>
  <c r="K71" s="1"/>
  <c r="I70"/>
  <c r="L70" s="1"/>
  <c r="H70"/>
  <c r="K70" s="1"/>
  <c r="I69"/>
  <c r="L69" s="1"/>
  <c r="H69"/>
  <c r="K69" s="1"/>
  <c r="I68"/>
  <c r="L68" s="1"/>
  <c r="H68"/>
  <c r="K68" s="1"/>
  <c r="I67"/>
  <c r="L67" s="1"/>
  <c r="H67"/>
  <c r="K67" s="1"/>
  <c r="I66"/>
  <c r="L66" s="1"/>
  <c r="H66"/>
  <c r="K66" s="1"/>
  <c r="H65"/>
  <c r="K65" s="1"/>
  <c r="I64"/>
  <c r="L64" s="1"/>
  <c r="H64"/>
  <c r="K64" s="1"/>
  <c r="I63"/>
  <c r="L63" s="1"/>
  <c r="H63"/>
  <c r="K63" s="1"/>
  <c r="H62"/>
  <c r="K62" s="1"/>
  <c r="I61"/>
  <c r="L61" s="1"/>
  <c r="H61"/>
  <c r="K61" s="1"/>
  <c r="I60"/>
  <c r="L60" s="1"/>
  <c r="H60"/>
  <c r="K60" s="1"/>
  <c r="H58"/>
  <c r="K58" s="1"/>
  <c r="H57"/>
  <c r="K57" s="1"/>
  <c r="H56"/>
  <c r="K56" s="1"/>
  <c r="H55"/>
  <c r="K55" s="1"/>
  <c r="H54"/>
  <c r="K54" s="1"/>
  <c r="H53"/>
  <c r="K53" s="1"/>
  <c r="H52"/>
  <c r="K52" s="1"/>
  <c r="H51"/>
  <c r="K51" s="1"/>
  <c r="H50"/>
  <c r="K50" s="1"/>
  <c r="H49"/>
  <c r="K49" s="1"/>
  <c r="H48"/>
  <c r="K48" s="1"/>
  <c r="I47"/>
  <c r="L47" s="1"/>
  <c r="H47"/>
  <c r="K47" s="1"/>
  <c r="H46"/>
  <c r="K46" s="1"/>
  <c r="H45"/>
  <c r="K45" s="1"/>
  <c r="H44"/>
  <c r="K44" s="1"/>
  <c r="H43"/>
  <c r="K43" s="1"/>
  <c r="H42"/>
  <c r="K42" s="1"/>
  <c r="H41"/>
  <c r="K41" s="1"/>
  <c r="H40"/>
  <c r="K40" s="1"/>
  <c r="H39"/>
  <c r="K39" s="1"/>
  <c r="H38"/>
  <c r="K38" s="1"/>
  <c r="I37"/>
  <c r="L37" s="1"/>
  <c r="H37"/>
  <c r="K37" s="1"/>
  <c r="I36"/>
  <c r="L36" s="1"/>
  <c r="H36"/>
  <c r="K36" s="1"/>
  <c r="H35"/>
  <c r="K35" s="1"/>
  <c r="H34"/>
  <c r="K34" s="1"/>
  <c r="H33"/>
  <c r="K33" s="1"/>
  <c r="H32"/>
  <c r="K32" s="1"/>
  <c r="H31"/>
  <c r="K31" s="1"/>
  <c r="H30"/>
  <c r="K30" s="1"/>
  <c r="H29"/>
  <c r="K29" s="1"/>
  <c r="H28"/>
  <c r="K28" s="1"/>
  <c r="H27"/>
  <c r="K27" s="1"/>
  <c r="H26"/>
  <c r="K26" s="1"/>
  <c r="H25"/>
  <c r="K25" s="1"/>
  <c r="H23"/>
  <c r="K23" s="1"/>
  <c r="I22"/>
  <c r="L22" s="1"/>
  <c r="H22"/>
  <c r="K22" s="1"/>
  <c r="H21"/>
  <c r="K21" s="1"/>
  <c r="I20"/>
  <c r="L20" s="1"/>
  <c r="H20"/>
  <c r="K20" s="1"/>
  <c r="I19"/>
  <c r="L19" s="1"/>
  <c r="H19"/>
  <c r="K19" s="1"/>
  <c r="I18"/>
  <c r="L18" s="1"/>
  <c r="H18"/>
  <c r="K18" s="1"/>
  <c r="H17"/>
  <c r="K17" s="1"/>
  <c r="H16"/>
  <c r="K16" s="1"/>
  <c r="H15"/>
  <c r="K15" s="1"/>
  <c r="H14"/>
  <c r="K14" s="1"/>
  <c r="H13"/>
  <c r="K13" s="1"/>
  <c r="H12"/>
  <c r="K12" s="1"/>
  <c r="H11"/>
  <c r="K11" s="1"/>
  <c r="G99"/>
  <c r="F98"/>
  <c r="I98" s="1"/>
  <c r="L98" s="1"/>
  <c r="F95"/>
  <c r="I95" s="1"/>
  <c r="L95" s="1"/>
  <c r="F94"/>
  <c r="I94" s="1"/>
  <c r="L94" s="1"/>
  <c r="F82"/>
  <c r="I82" s="1"/>
  <c r="L82" s="1"/>
  <c r="F80"/>
  <c r="I80" s="1"/>
  <c r="L80" s="1"/>
  <c r="F72"/>
  <c r="I72" s="1"/>
  <c r="L72" s="1"/>
  <c r="F65"/>
  <c r="G65" s="1"/>
  <c r="F62"/>
  <c r="I62" s="1"/>
  <c r="L62" s="1"/>
  <c r="M99" l="1"/>
  <c r="I65"/>
  <c r="L65" s="1"/>
  <c r="J99"/>
  <c r="J72" i="2" l="1"/>
  <c r="G15"/>
  <c r="G68"/>
  <c r="D319" i="58"/>
  <c r="H23" i="49"/>
  <c r="H23" i="64" s="1"/>
  <c r="F23" i="49"/>
  <c r="F23" i="64" s="1"/>
  <c r="E23" i="49"/>
  <c r="E23" i="64" s="1"/>
  <c r="K29" i="49"/>
  <c r="K29" i="64" s="1"/>
  <c r="J29" i="49"/>
  <c r="J29" i="64" s="1"/>
  <c r="F29" i="49"/>
  <c r="F29" i="64" s="1"/>
  <c r="E29" i="49"/>
  <c r="E29" i="64" s="1"/>
  <c r="D29" i="49"/>
  <c r="D29" i="64" s="1"/>
  <c r="C29" i="49"/>
  <c r="C29" i="64" s="1"/>
  <c r="L29" l="1"/>
  <c r="I30" i="34"/>
  <c r="I30" i="65" s="1"/>
  <c r="G29" i="49"/>
  <c r="G29" i="64" s="1"/>
  <c r="G23" i="49"/>
  <c r="G23" i="64" s="1"/>
  <c r="J30" i="34"/>
  <c r="J30" i="65" s="1"/>
  <c r="G24" i="34"/>
  <c r="G24" i="65" s="1"/>
  <c r="F24" i="34"/>
  <c r="F24" i="65" s="1"/>
  <c r="G72" i="2"/>
  <c r="G161" i="22"/>
  <c r="G162" s="1"/>
  <c r="G159"/>
  <c r="G160" s="1"/>
  <c r="D161"/>
  <c r="D162" s="1"/>
  <c r="D159"/>
  <c r="D160" s="1"/>
  <c r="K28" i="49"/>
  <c r="K28" i="64" s="1"/>
  <c r="J28" i="49"/>
  <c r="J28" i="64" s="1"/>
  <c r="H28" i="49"/>
  <c r="H28" i="64" s="1"/>
  <c r="H36" s="1"/>
  <c r="F28" i="49"/>
  <c r="F28" i="64" s="1"/>
  <c r="E28" i="49"/>
  <c r="E28" i="64" s="1"/>
  <c r="D28" i="49"/>
  <c r="D28" i="64" s="1"/>
  <c r="C28" i="49"/>
  <c r="C28" i="64" s="1"/>
  <c r="K17" i="49"/>
  <c r="K17" i="64" s="1"/>
  <c r="J17" i="49"/>
  <c r="J17" i="64" s="1"/>
  <c r="J18" i="49"/>
  <c r="X17"/>
  <c r="X18"/>
  <c r="I17"/>
  <c r="I17" i="64" s="1"/>
  <c r="I18" i="49"/>
  <c r="I18" i="64" s="1"/>
  <c r="F113" i="49"/>
  <c r="E113"/>
  <c r="E113" i="64" s="1"/>
  <c r="E119" s="1"/>
  <c r="D113" i="49"/>
  <c r="D113" i="64" s="1"/>
  <c r="D119" s="1"/>
  <c r="C113" i="49"/>
  <c r="C113" i="64" s="1"/>
  <c r="C119" s="1"/>
  <c r="E11" i="49"/>
  <c r="E11" i="64" s="1"/>
  <c r="D11" i="49"/>
  <c r="D11" i="64" s="1"/>
  <c r="C11" i="49"/>
  <c r="C11" i="64" s="1"/>
  <c r="H46" i="49"/>
  <c r="H46" i="64" s="1"/>
  <c r="F46" i="49"/>
  <c r="F46" i="64" s="1"/>
  <c r="E46" i="49"/>
  <c r="E46" i="64" s="1"/>
  <c r="C46" i="49"/>
  <c r="C46" i="64" s="1"/>
  <c r="D46" i="49"/>
  <c r="D46" i="64" s="1"/>
  <c r="H10" i="49"/>
  <c r="H10" i="64" s="1"/>
  <c r="H20" s="1"/>
  <c r="K12" i="49"/>
  <c r="K12" i="64" s="1"/>
  <c r="D12" i="49"/>
  <c r="D12" i="64" s="1"/>
  <c r="C12" i="49"/>
  <c r="C12" i="64" s="1"/>
  <c r="H45" i="49"/>
  <c r="H45" i="64" s="1"/>
  <c r="U43" i="49"/>
  <c r="J66"/>
  <c r="J66" i="64" s="1"/>
  <c r="L66" s="1"/>
  <c r="F66" i="49"/>
  <c r="F66" i="64" s="1"/>
  <c r="E66" i="49"/>
  <c r="E66" i="64" s="1"/>
  <c r="D66" i="49"/>
  <c r="D66" i="64" s="1"/>
  <c r="C66" i="49"/>
  <c r="K59"/>
  <c r="K59" i="64" s="1"/>
  <c r="J59" i="49"/>
  <c r="J59" i="64" s="1"/>
  <c r="F59" i="49"/>
  <c r="F59" i="64" s="1"/>
  <c r="E59" i="49"/>
  <c r="E59" i="64" s="1"/>
  <c r="D59" i="49"/>
  <c r="D59" i="64" s="1"/>
  <c r="C59" i="49"/>
  <c r="C59" i="64" s="1"/>
  <c r="K56" i="49"/>
  <c r="J56"/>
  <c r="F56"/>
  <c r="F56" i="64" s="1"/>
  <c r="E56" i="49"/>
  <c r="E56" i="64" s="1"/>
  <c r="D56" i="49"/>
  <c r="D56" i="64" s="1"/>
  <c r="C56" i="49"/>
  <c r="C56" i="64" s="1"/>
  <c r="I68" i="49"/>
  <c r="I68" i="64" s="1"/>
  <c r="M68" s="1"/>
  <c r="Z68" s="1"/>
  <c r="AI68" s="1"/>
  <c r="I82" i="49"/>
  <c r="I82" i="64" s="1"/>
  <c r="M82" s="1"/>
  <c r="Z82" s="1"/>
  <c r="AI82" s="1"/>
  <c r="I58" i="49"/>
  <c r="I58" i="64" s="1"/>
  <c r="I47" i="49"/>
  <c r="I47" i="64" s="1"/>
  <c r="I33" i="49"/>
  <c r="I33" i="64" s="1"/>
  <c r="M33" s="1"/>
  <c r="Z33" s="1"/>
  <c r="AI33" s="1"/>
  <c r="I32" i="49"/>
  <c r="I32" i="64" s="1"/>
  <c r="M32" s="1"/>
  <c r="Z32" s="1"/>
  <c r="AI32" s="1"/>
  <c r="I42" i="49"/>
  <c r="I43" s="1"/>
  <c r="I64"/>
  <c r="I64" i="64" s="1"/>
  <c r="M64" s="1"/>
  <c r="Z64" s="1"/>
  <c r="AI64" s="1"/>
  <c r="I51" i="49"/>
  <c r="I51" i="64" s="1"/>
  <c r="M51" s="1"/>
  <c r="Z51" s="1"/>
  <c r="AI51" s="1"/>
  <c r="I30" i="49"/>
  <c r="I30" i="64" s="1"/>
  <c r="M30" s="1"/>
  <c r="Z30" s="1"/>
  <c r="AI30" s="1"/>
  <c r="I29" i="49"/>
  <c r="I29" i="64" s="1"/>
  <c r="I23" i="49"/>
  <c r="I23" i="64" s="1"/>
  <c r="M23" s="1"/>
  <c r="Z23" s="1"/>
  <c r="AI23" s="1"/>
  <c r="I22" i="49"/>
  <c r="I22" i="64" s="1"/>
  <c r="I19" i="49"/>
  <c r="I19" i="64" s="1"/>
  <c r="M19" s="1"/>
  <c r="Z19" s="1"/>
  <c r="I16" i="49"/>
  <c r="I16" i="64" s="1"/>
  <c r="M16" s="1"/>
  <c r="Z16" s="1"/>
  <c r="I15" i="49"/>
  <c r="I15" i="64" s="1"/>
  <c r="M15" s="1"/>
  <c r="Z15" s="1"/>
  <c r="I80" i="49"/>
  <c r="I80" i="64" s="1"/>
  <c r="M80" s="1"/>
  <c r="Z80" s="1"/>
  <c r="AI80" s="1"/>
  <c r="F103" i="49"/>
  <c r="F95"/>
  <c r="F77"/>
  <c r="F79"/>
  <c r="F34"/>
  <c r="F34" i="64" s="1"/>
  <c r="F62" i="49"/>
  <c r="F62" i="64" s="1"/>
  <c r="F31" i="49"/>
  <c r="F31" i="64" s="1"/>
  <c r="F57" i="49"/>
  <c r="F57" i="64" s="1"/>
  <c r="F61" i="49"/>
  <c r="F61" i="64" s="1"/>
  <c r="F60" i="49"/>
  <c r="F60" i="64" s="1"/>
  <c r="F45" i="49"/>
  <c r="F45" i="64" s="1"/>
  <c r="F52" i="49"/>
  <c r="F52" i="64" s="1"/>
  <c r="F65" i="49"/>
  <c r="F65" i="64" s="1"/>
  <c r="F63" i="49"/>
  <c r="F63" i="64" s="1"/>
  <c r="F26" i="49"/>
  <c r="F26" i="64" s="1"/>
  <c r="F25" i="49"/>
  <c r="F25" i="64" s="1"/>
  <c r="F24" i="49"/>
  <c r="F105"/>
  <c r="F49"/>
  <c r="F49" i="64" s="1"/>
  <c r="F13" i="49"/>
  <c r="K79"/>
  <c r="K79" i="64" s="1"/>
  <c r="J79" i="49"/>
  <c r="J79" i="64" s="1"/>
  <c r="E79" i="49"/>
  <c r="E79" i="64" s="1"/>
  <c r="D79" i="49"/>
  <c r="D79" i="64" s="1"/>
  <c r="C79" i="49"/>
  <c r="C79" i="64" s="1"/>
  <c r="K45" i="49"/>
  <c r="K45" i="64" s="1"/>
  <c r="J45" i="49"/>
  <c r="J45" i="64" s="1"/>
  <c r="E45" i="49"/>
  <c r="E45" i="64" s="1"/>
  <c r="D45" i="49"/>
  <c r="D45" i="64" s="1"/>
  <c r="C45" i="49"/>
  <c r="C45" i="64" s="1"/>
  <c r="K57" i="49"/>
  <c r="K57" i="64" s="1"/>
  <c r="J57" i="49"/>
  <c r="J57" i="64" s="1"/>
  <c r="AF57" i="49"/>
  <c r="AE57"/>
  <c r="E57"/>
  <c r="E57" i="64" s="1"/>
  <c r="D57" i="49"/>
  <c r="D57" i="64" s="1"/>
  <c r="C57" i="49"/>
  <c r="C57" i="64" s="1"/>
  <c r="E61" i="49"/>
  <c r="E61" i="64" s="1"/>
  <c r="D61" i="49"/>
  <c r="D61" i="64" s="1"/>
  <c r="C61" i="49"/>
  <c r="C61" i="64" s="1"/>
  <c r="K60" i="49"/>
  <c r="K60" i="64" s="1"/>
  <c r="J60" i="49"/>
  <c r="J60" i="64" s="1"/>
  <c r="E60" i="49"/>
  <c r="E60" i="64" s="1"/>
  <c r="D60" i="49"/>
  <c r="D60" i="64" s="1"/>
  <c r="C60" i="49"/>
  <c r="C60" i="64" s="1"/>
  <c r="AG120" i="49"/>
  <c r="K65"/>
  <c r="K65" i="64" s="1"/>
  <c r="J65" i="49"/>
  <c r="J65" i="64" s="1"/>
  <c r="AE65" i="49"/>
  <c r="E65"/>
  <c r="E65" i="64" s="1"/>
  <c r="D65" i="49"/>
  <c r="D65" i="64" s="1"/>
  <c r="K49" i="49"/>
  <c r="K49" i="64" s="1"/>
  <c r="J49" i="49"/>
  <c r="J49" i="64" s="1"/>
  <c r="J105" i="49"/>
  <c r="J105" i="64" s="1"/>
  <c r="E105" i="49"/>
  <c r="E105" i="64" s="1"/>
  <c r="E111" s="1"/>
  <c r="D105" i="49"/>
  <c r="D105" i="64" s="1"/>
  <c r="D111" s="1"/>
  <c r="C105" i="49"/>
  <c r="C105" i="64" s="1"/>
  <c r="C111" s="1"/>
  <c r="AD10" i="49"/>
  <c r="D10"/>
  <c r="D10" i="64" s="1"/>
  <c r="C10" i="49"/>
  <c r="C10" i="64" s="1"/>
  <c r="F115" i="38"/>
  <c r="G63"/>
  <c r="J63"/>
  <c r="M63"/>
  <c r="G64"/>
  <c r="J64"/>
  <c r="M64"/>
  <c r="J65"/>
  <c r="M65"/>
  <c r="G66"/>
  <c r="J66"/>
  <c r="M66"/>
  <c r="G67"/>
  <c r="J67"/>
  <c r="M67"/>
  <c r="G68"/>
  <c r="J68"/>
  <c r="M68"/>
  <c r="G69"/>
  <c r="J69"/>
  <c r="M69"/>
  <c r="G70"/>
  <c r="J70"/>
  <c r="M70"/>
  <c r="G71"/>
  <c r="J71"/>
  <c r="M71"/>
  <c r="G72"/>
  <c r="J72"/>
  <c r="M72"/>
  <c r="G73"/>
  <c r="J73"/>
  <c r="M73"/>
  <c r="G74"/>
  <c r="J74"/>
  <c r="M74"/>
  <c r="G75"/>
  <c r="J75"/>
  <c r="M75"/>
  <c r="G76"/>
  <c r="J76"/>
  <c r="M76"/>
  <c r="G77"/>
  <c r="J77"/>
  <c r="M77"/>
  <c r="G78"/>
  <c r="J78"/>
  <c r="M78"/>
  <c r="G79"/>
  <c r="J79"/>
  <c r="M79"/>
  <c r="G80"/>
  <c r="J80"/>
  <c r="M80"/>
  <c r="G81"/>
  <c r="J81"/>
  <c r="M81"/>
  <c r="G82"/>
  <c r="J82"/>
  <c r="M82"/>
  <c r="G83"/>
  <c r="J83"/>
  <c r="M83"/>
  <c r="G84"/>
  <c r="J84"/>
  <c r="M84"/>
  <c r="G85"/>
  <c r="J85"/>
  <c r="M85"/>
  <c r="G86"/>
  <c r="J86"/>
  <c r="M86"/>
  <c r="G87"/>
  <c r="J87"/>
  <c r="M87"/>
  <c r="G88"/>
  <c r="J88"/>
  <c r="M88"/>
  <c r="G89"/>
  <c r="J89"/>
  <c r="M89"/>
  <c r="G90"/>
  <c r="J90"/>
  <c r="M90"/>
  <c r="G91"/>
  <c r="J91"/>
  <c r="M91"/>
  <c r="G92"/>
  <c r="J92"/>
  <c r="M92"/>
  <c r="G93"/>
  <c r="J93"/>
  <c r="M93"/>
  <c r="G94"/>
  <c r="J94"/>
  <c r="M94"/>
  <c r="G95"/>
  <c r="J95"/>
  <c r="M95"/>
  <c r="G96"/>
  <c r="J96"/>
  <c r="M96"/>
  <c r="G97"/>
  <c r="J97"/>
  <c r="M97"/>
  <c r="G98"/>
  <c r="J98"/>
  <c r="M98"/>
  <c r="G100"/>
  <c r="J100"/>
  <c r="M100"/>
  <c r="G101"/>
  <c r="J101"/>
  <c r="M101"/>
  <c r="G102"/>
  <c r="J102"/>
  <c r="M102"/>
  <c r="G103"/>
  <c r="J103"/>
  <c r="M103"/>
  <c r="G104"/>
  <c r="J104"/>
  <c r="M104"/>
  <c r="G105"/>
  <c r="J105"/>
  <c r="M105"/>
  <c r="G106"/>
  <c r="J106"/>
  <c r="M106"/>
  <c r="G107"/>
  <c r="J107"/>
  <c r="M107"/>
  <c r="G108"/>
  <c r="J108"/>
  <c r="M108"/>
  <c r="G109"/>
  <c r="J109"/>
  <c r="M109"/>
  <c r="G110"/>
  <c r="J110"/>
  <c r="M110"/>
  <c r="G111"/>
  <c r="J111"/>
  <c r="M111"/>
  <c r="G112"/>
  <c r="J112"/>
  <c r="M112"/>
  <c r="F35"/>
  <c r="F34"/>
  <c r="F33"/>
  <c r="I33" s="1"/>
  <c r="L33" s="1"/>
  <c r="M33" s="1"/>
  <c r="F32"/>
  <c r="I32" s="1"/>
  <c r="L32" s="1"/>
  <c r="F31"/>
  <c r="F30"/>
  <c r="F29"/>
  <c r="F28"/>
  <c r="F27"/>
  <c r="F26"/>
  <c r="F25"/>
  <c r="E24"/>
  <c r="F23"/>
  <c r="F21"/>
  <c r="F42"/>
  <c r="F41"/>
  <c r="F40"/>
  <c r="F39"/>
  <c r="F38"/>
  <c r="F45"/>
  <c r="F46"/>
  <c r="I46" s="1"/>
  <c r="L46" s="1"/>
  <c r="M46" s="1"/>
  <c r="F44"/>
  <c r="F43"/>
  <c r="I43" s="1"/>
  <c r="L43" s="1"/>
  <c r="E59"/>
  <c r="F58"/>
  <c r="F57"/>
  <c r="F50"/>
  <c r="I50" s="1"/>
  <c r="L50" s="1"/>
  <c r="M50" s="1"/>
  <c r="F56"/>
  <c r="I56" s="1"/>
  <c r="L56" s="1"/>
  <c r="F55"/>
  <c r="F54"/>
  <c r="I54" s="1"/>
  <c r="L54" s="1"/>
  <c r="F53"/>
  <c r="F52"/>
  <c r="F51"/>
  <c r="F49"/>
  <c r="F48"/>
  <c r="I48" s="1"/>
  <c r="L48" s="1"/>
  <c r="M48" s="1"/>
  <c r="F17"/>
  <c r="F16"/>
  <c r="F15"/>
  <c r="I15" s="1"/>
  <c r="L15" s="1"/>
  <c r="F14"/>
  <c r="I14" s="1"/>
  <c r="L14" s="1"/>
  <c r="F13"/>
  <c r="I13" s="1"/>
  <c r="L13" s="1"/>
  <c r="F12"/>
  <c r="I12" s="1"/>
  <c r="L12" s="1"/>
  <c r="F11"/>
  <c r="I11" s="1"/>
  <c r="L11" s="1"/>
  <c r="G18"/>
  <c r="J18"/>
  <c r="M18"/>
  <c r="G19"/>
  <c r="J19"/>
  <c r="M19"/>
  <c r="G20"/>
  <c r="J20"/>
  <c r="M20"/>
  <c r="G22"/>
  <c r="J22"/>
  <c r="M22"/>
  <c r="G32"/>
  <c r="J32"/>
  <c r="M32"/>
  <c r="J33"/>
  <c r="G36"/>
  <c r="J36"/>
  <c r="M36"/>
  <c r="G37"/>
  <c r="J37"/>
  <c r="M37"/>
  <c r="M43"/>
  <c r="G47"/>
  <c r="J47"/>
  <c r="M47"/>
  <c r="J48"/>
  <c r="G50"/>
  <c r="G54"/>
  <c r="J54"/>
  <c r="M54"/>
  <c r="G56"/>
  <c r="M56"/>
  <c r="G60"/>
  <c r="J60"/>
  <c r="M60"/>
  <c r="G62"/>
  <c r="J62"/>
  <c r="M62"/>
  <c r="G113"/>
  <c r="J113"/>
  <c r="M113"/>
  <c r="D27" i="49"/>
  <c r="D27" i="64" s="1"/>
  <c r="C27" i="49"/>
  <c r="C27" i="64" s="1"/>
  <c r="E34" i="49"/>
  <c r="E34" i="64" s="1"/>
  <c r="D34" i="49"/>
  <c r="D34" i="64" s="1"/>
  <c r="C34" i="49"/>
  <c r="C34" i="64" s="1"/>
  <c r="E24" i="49"/>
  <c r="E24" i="64" s="1"/>
  <c r="D24" i="49"/>
  <c r="D24" i="64" s="1"/>
  <c r="C24" i="49"/>
  <c r="C24" i="64" s="1"/>
  <c r="J83" i="49"/>
  <c r="J83" i="64" s="1"/>
  <c r="L83" s="1"/>
  <c r="E83" i="49"/>
  <c r="E83" i="64" s="1"/>
  <c r="C83" i="49"/>
  <c r="C83" i="64" s="1"/>
  <c r="E62" i="49"/>
  <c r="E62" i="64" s="1"/>
  <c r="D62" i="49"/>
  <c r="D62" i="64" s="1"/>
  <c r="C62" i="49"/>
  <c r="C62" i="64" s="1"/>
  <c r="E31" i="49"/>
  <c r="E31" i="64" s="1"/>
  <c r="D31" i="49"/>
  <c r="D31" i="64" s="1"/>
  <c r="C31" i="49"/>
  <c r="C31" i="64" s="1"/>
  <c r="K14" i="49"/>
  <c r="K14" i="64" s="1"/>
  <c r="J14" i="49"/>
  <c r="J14" i="64" s="1"/>
  <c r="AD14" i="49"/>
  <c r="E14"/>
  <c r="E14" i="64" s="1"/>
  <c r="D14" i="49"/>
  <c r="D14" i="64" s="1"/>
  <c r="C14" i="49"/>
  <c r="C14" i="64" s="1"/>
  <c r="K81" i="49"/>
  <c r="K81" i="64" s="1"/>
  <c r="J81" i="49"/>
  <c r="J81" i="64" s="1"/>
  <c r="AE81" i="49"/>
  <c r="D81"/>
  <c r="D81" i="64" s="1"/>
  <c r="C81" i="49"/>
  <c r="C81" i="64" s="1"/>
  <c r="K52" i="49"/>
  <c r="K52" i="64" s="1"/>
  <c r="J52" i="49"/>
  <c r="J52" i="64" s="1"/>
  <c r="AE52" i="49"/>
  <c r="E52"/>
  <c r="E52" i="64" s="1"/>
  <c r="D52" i="49"/>
  <c r="D52" i="64" s="1"/>
  <c r="C52" i="49"/>
  <c r="K13"/>
  <c r="K13" i="64" s="1"/>
  <c r="L13" s="1"/>
  <c r="AD13" i="49"/>
  <c r="E13"/>
  <c r="E13" i="64" s="1"/>
  <c r="D13" i="49"/>
  <c r="D13" i="64" s="1"/>
  <c r="C13" i="49"/>
  <c r="C13" i="64" s="1"/>
  <c r="L65" l="1"/>
  <c r="L57"/>
  <c r="L28"/>
  <c r="L60"/>
  <c r="M29"/>
  <c r="Z29" s="1"/>
  <c r="AI29" s="1"/>
  <c r="L14"/>
  <c r="D20"/>
  <c r="L45"/>
  <c r="E87"/>
  <c r="F54"/>
  <c r="J56"/>
  <c r="I58" i="65"/>
  <c r="C66" i="64"/>
  <c r="I66" i="49"/>
  <c r="I66" i="64" s="1"/>
  <c r="M66" s="1"/>
  <c r="Z66" s="1"/>
  <c r="AI66" s="1"/>
  <c r="L17"/>
  <c r="M17" s="1"/>
  <c r="Z17" s="1"/>
  <c r="C52"/>
  <c r="I52" i="49"/>
  <c r="I52" i="64" s="1"/>
  <c r="L52"/>
  <c r="J111"/>
  <c r="L105"/>
  <c r="L111" s="1"/>
  <c r="K54"/>
  <c r="L79"/>
  <c r="J87"/>
  <c r="F111" i="49"/>
  <c r="F105" i="64"/>
  <c r="F111" s="1"/>
  <c r="J58" i="65"/>
  <c r="K56" i="64"/>
  <c r="K20"/>
  <c r="L12"/>
  <c r="L81"/>
  <c r="L49"/>
  <c r="C87"/>
  <c r="K87"/>
  <c r="F36" i="49"/>
  <c r="F24" i="64"/>
  <c r="F36" s="1"/>
  <c r="L59"/>
  <c r="H54"/>
  <c r="H120" s="1"/>
  <c r="E20"/>
  <c r="F119" i="49"/>
  <c r="F113" i="64"/>
  <c r="F119" s="1"/>
  <c r="C20"/>
  <c r="D87"/>
  <c r="F20" i="49"/>
  <c r="F13" i="64"/>
  <c r="F20" s="1"/>
  <c r="F87" i="49"/>
  <c r="F79" i="64"/>
  <c r="F87" s="1"/>
  <c r="M22"/>
  <c r="F69"/>
  <c r="I19" i="34"/>
  <c r="I19" i="65" s="1"/>
  <c r="K19" s="1"/>
  <c r="J18" i="64"/>
  <c r="L18" s="1"/>
  <c r="M18" s="1"/>
  <c r="Z18" s="1"/>
  <c r="G46" i="38"/>
  <c r="J46"/>
  <c r="F54" i="49"/>
  <c r="E20"/>
  <c r="D30" i="34"/>
  <c r="D30" i="65" s="1"/>
  <c r="C30" i="34"/>
  <c r="C30" i="65" s="1"/>
  <c r="J67" i="34"/>
  <c r="J67" i="65" s="1"/>
  <c r="I46" i="34"/>
  <c r="I46" i="65" s="1"/>
  <c r="G56" i="49"/>
  <c r="G66"/>
  <c r="G66" i="64" s="1"/>
  <c r="J14" i="34"/>
  <c r="J14" i="65" s="1"/>
  <c r="K14" s="1"/>
  <c r="I15" i="34"/>
  <c r="I15" i="65" s="1"/>
  <c r="J20" i="49"/>
  <c r="I85" i="34"/>
  <c r="I85" i="65" s="1"/>
  <c r="K85" s="1"/>
  <c r="J56" i="38"/>
  <c r="G48"/>
  <c r="J43"/>
  <c r="G33"/>
  <c r="G49"/>
  <c r="I49"/>
  <c r="G57"/>
  <c r="I57"/>
  <c r="G44"/>
  <c r="I44"/>
  <c r="G39"/>
  <c r="I39"/>
  <c r="G21"/>
  <c r="I21"/>
  <c r="G26"/>
  <c r="I26"/>
  <c r="G30"/>
  <c r="I30"/>
  <c r="G34"/>
  <c r="I34"/>
  <c r="C111" i="49"/>
  <c r="G105"/>
  <c r="G105" i="64" s="1"/>
  <c r="G111" s="1"/>
  <c r="I50" i="34"/>
  <c r="I50" i="65" s="1"/>
  <c r="I62" i="34"/>
  <c r="I62" i="65" s="1"/>
  <c r="G45" i="49"/>
  <c r="G45" i="64" s="1"/>
  <c r="K54" i="49"/>
  <c r="J55" i="34" s="1"/>
  <c r="J55" i="65" s="1"/>
  <c r="J46" i="34"/>
  <c r="J46" i="65" s="1"/>
  <c r="J87" i="49"/>
  <c r="I81" i="34"/>
  <c r="I81" i="65" s="1"/>
  <c r="J58" i="34"/>
  <c r="G47"/>
  <c r="G47" i="65" s="1"/>
  <c r="F47" i="34"/>
  <c r="F47" i="65" s="1"/>
  <c r="D113" i="34"/>
  <c r="D113" i="65" s="1"/>
  <c r="D119" s="1"/>
  <c r="C119" i="49"/>
  <c r="C113" i="34"/>
  <c r="C113" i="65" s="1"/>
  <c r="C119" s="1"/>
  <c r="G113" i="49"/>
  <c r="I29" i="34"/>
  <c r="I29" i="65" s="1"/>
  <c r="J83" i="34"/>
  <c r="J83" i="65" s="1"/>
  <c r="G53" i="38"/>
  <c r="I53"/>
  <c r="G38"/>
  <c r="I38"/>
  <c r="G29"/>
  <c r="I29"/>
  <c r="G28" i="49"/>
  <c r="G28" i="64" s="1"/>
  <c r="G29" i="34"/>
  <c r="F29"/>
  <c r="G52" i="49"/>
  <c r="G52" i="64" s="1"/>
  <c r="G62" i="49"/>
  <c r="G62" i="64" s="1"/>
  <c r="G43" i="38"/>
  <c r="G16"/>
  <c r="I16"/>
  <c r="G51"/>
  <c r="I51"/>
  <c r="G55"/>
  <c r="I55"/>
  <c r="G58"/>
  <c r="I58"/>
  <c r="G40"/>
  <c r="I40"/>
  <c r="G23"/>
  <c r="I23"/>
  <c r="G27"/>
  <c r="I27"/>
  <c r="G31"/>
  <c r="I31"/>
  <c r="G35"/>
  <c r="I35"/>
  <c r="G10" i="49"/>
  <c r="G10" i="64" s="1"/>
  <c r="C20" i="49"/>
  <c r="D111"/>
  <c r="J50" i="34"/>
  <c r="J50" i="65" s="1"/>
  <c r="G60" i="49"/>
  <c r="G60" i="64" s="1"/>
  <c r="J62" i="34"/>
  <c r="J62" i="65" s="1"/>
  <c r="G57" i="49"/>
  <c r="G57" i="64" s="1"/>
  <c r="C87" i="49"/>
  <c r="G79"/>
  <c r="G79" i="64" s="1"/>
  <c r="J81" i="34"/>
  <c r="J81" i="65" s="1"/>
  <c r="J87" s="1"/>
  <c r="K87" i="49"/>
  <c r="G59"/>
  <c r="G59" i="64" s="1"/>
  <c r="I61" i="34"/>
  <c r="I61" i="65" s="1"/>
  <c r="G46" i="49"/>
  <c r="G46" i="64" s="1"/>
  <c r="D119" i="49"/>
  <c r="I18" i="34"/>
  <c r="I18" i="65" s="1"/>
  <c r="J29" i="34"/>
  <c r="J29" i="65" s="1"/>
  <c r="D24" i="34"/>
  <c r="D24" i="65" s="1"/>
  <c r="C24" i="34"/>
  <c r="C24" i="65" s="1"/>
  <c r="G81" i="49"/>
  <c r="G81" i="64" s="1"/>
  <c r="G34" i="49"/>
  <c r="G34" i="64" s="1"/>
  <c r="G42" i="38"/>
  <c r="I42"/>
  <c r="G25"/>
  <c r="I25"/>
  <c r="J111" i="49"/>
  <c r="I105" i="34"/>
  <c r="I105" i="65" s="1"/>
  <c r="I111" s="1"/>
  <c r="G65" i="49"/>
  <c r="G65" i="64" s="1"/>
  <c r="J59" i="34"/>
  <c r="J59" i="65" s="1"/>
  <c r="E87" i="49"/>
  <c r="I58" i="34"/>
  <c r="I68"/>
  <c r="I68" i="65" s="1"/>
  <c r="K68" s="1"/>
  <c r="H20" i="49"/>
  <c r="F11" i="34"/>
  <c r="F11" i="65" s="1"/>
  <c r="F21" s="1"/>
  <c r="G11" i="34"/>
  <c r="G11" i="65" s="1"/>
  <c r="G21" s="1"/>
  <c r="I53" i="34"/>
  <c r="I53" i="65" s="1"/>
  <c r="J15" i="34"/>
  <c r="J15" i="65" s="1"/>
  <c r="G24" i="49"/>
  <c r="G24" i="64" s="1"/>
  <c r="J53" i="34"/>
  <c r="J53" i="65" s="1"/>
  <c r="I83" i="34"/>
  <c r="I83" i="65" s="1"/>
  <c r="G31" i="49"/>
  <c r="G31" i="64" s="1"/>
  <c r="G83" i="49"/>
  <c r="G83" i="64" s="1"/>
  <c r="G27" i="49"/>
  <c r="G27" i="64" s="1"/>
  <c r="J50" i="38"/>
  <c r="G17"/>
  <c r="I17"/>
  <c r="G52"/>
  <c r="I52"/>
  <c r="F59"/>
  <c r="H59"/>
  <c r="G45"/>
  <c r="I45"/>
  <c r="G41"/>
  <c r="I41"/>
  <c r="F24"/>
  <c r="I24" s="1"/>
  <c r="L24" s="1"/>
  <c r="H24"/>
  <c r="G28"/>
  <c r="I28"/>
  <c r="D20" i="49"/>
  <c r="E111"/>
  <c r="I67" i="34"/>
  <c r="I67" i="65" s="1"/>
  <c r="K67" s="1"/>
  <c r="G61" i="49"/>
  <c r="G61" i="64" s="1"/>
  <c r="I59" i="34"/>
  <c r="I59" i="65" s="1"/>
  <c r="D87" i="49"/>
  <c r="F69"/>
  <c r="J61" i="34"/>
  <c r="J61" i="65" s="1"/>
  <c r="H54" i="49"/>
  <c r="G46" i="34"/>
  <c r="G46" i="65" s="1"/>
  <c r="F46" i="34"/>
  <c r="F46" i="65" s="1"/>
  <c r="F56" s="1"/>
  <c r="J13" i="34"/>
  <c r="J13" i="65" s="1"/>
  <c r="K20" i="49"/>
  <c r="E119"/>
  <c r="J18" i="34"/>
  <c r="J18" i="65" s="1"/>
  <c r="H36" i="49"/>
  <c r="G14"/>
  <c r="G14" i="64" s="1"/>
  <c r="G12" i="49"/>
  <c r="G12" i="64" s="1"/>
  <c r="G13" i="49"/>
  <c r="G13" i="64" s="1"/>
  <c r="G11" i="49"/>
  <c r="G11" i="64" s="1"/>
  <c r="Y18" i="49"/>
  <c r="Y17"/>
  <c r="I24"/>
  <c r="I24" i="64" s="1"/>
  <c r="M24" s="1"/>
  <c r="Z24" s="1"/>
  <c r="AI24" s="1"/>
  <c r="I61" i="49"/>
  <c r="I61" i="64" s="1"/>
  <c r="M61" s="1"/>
  <c r="Z61" s="1"/>
  <c r="AI61" s="1"/>
  <c r="I34" i="49"/>
  <c r="I34" i="64" s="1"/>
  <c r="M34" s="1"/>
  <c r="Z34" s="1"/>
  <c r="AI34" s="1"/>
  <c r="I45" i="49"/>
  <c r="I45" i="64" s="1"/>
  <c r="L18" i="49"/>
  <c r="M18" s="1"/>
  <c r="I14"/>
  <c r="I14" i="64" s="1"/>
  <c r="M14" s="1"/>
  <c r="Z14" s="1"/>
  <c r="I27" i="49"/>
  <c r="I27" i="64" s="1"/>
  <c r="M27" s="1"/>
  <c r="Z27" s="1"/>
  <c r="AI27" s="1"/>
  <c r="I81" i="49"/>
  <c r="I81" i="64" s="1"/>
  <c r="I65" i="49"/>
  <c r="I65" i="64" s="1"/>
  <c r="M65" s="1"/>
  <c r="Z65" s="1"/>
  <c r="AI65" s="1"/>
  <c r="I60" i="49"/>
  <c r="I60" i="64" s="1"/>
  <c r="M60" s="1"/>
  <c r="Z60" s="1"/>
  <c r="AI60" s="1"/>
  <c r="I62" i="49"/>
  <c r="I62" i="64" s="1"/>
  <c r="M62" s="1"/>
  <c r="Z62" s="1"/>
  <c r="AI62" s="1"/>
  <c r="I10" i="49"/>
  <c r="I10" i="64" s="1"/>
  <c r="I13" i="49"/>
  <c r="I13" i="64" s="1"/>
  <c r="M13" s="1"/>
  <c r="Z13" s="1"/>
  <c r="I83" i="49"/>
  <c r="I83" i="64" s="1"/>
  <c r="M83" s="1"/>
  <c r="I31" i="49"/>
  <c r="I31" i="64" s="1"/>
  <c r="M31" s="1"/>
  <c r="Z31" s="1"/>
  <c r="AI31" s="1"/>
  <c r="L17" i="49"/>
  <c r="M17" s="1"/>
  <c r="I79"/>
  <c r="I79" i="64" s="1"/>
  <c r="I57" i="49"/>
  <c r="I57" i="64" s="1"/>
  <c r="M57" s="1"/>
  <c r="Z57" s="1"/>
  <c r="AI57" s="1"/>
  <c r="I105" i="49"/>
  <c r="I105" i="64" s="1"/>
  <c r="I28" i="49"/>
  <c r="I28" i="64" s="1"/>
  <c r="M28" s="1"/>
  <c r="Z28" s="1"/>
  <c r="AI28" s="1"/>
  <c r="I113" i="49"/>
  <c r="I113" i="64" s="1"/>
  <c r="I11" i="49"/>
  <c r="I11" i="64" s="1"/>
  <c r="M11" s="1"/>
  <c r="Z11" s="1"/>
  <c r="I46" i="49"/>
  <c r="I46" i="64" s="1"/>
  <c r="M46" s="1"/>
  <c r="Z46" s="1"/>
  <c r="AI46" s="1"/>
  <c r="I12" i="49"/>
  <c r="I12" i="64" s="1"/>
  <c r="I59" i="49"/>
  <c r="I59" i="64" s="1"/>
  <c r="M59" s="1"/>
  <c r="I56" i="49"/>
  <c r="I56" i="64" s="1"/>
  <c r="X25" i="49"/>
  <c r="J25"/>
  <c r="J25" i="64" s="1"/>
  <c r="E25" i="49"/>
  <c r="E25" i="64" s="1"/>
  <c r="D25" i="49"/>
  <c r="D25" i="64" s="1"/>
  <c r="C25" i="49"/>
  <c r="C25" i="64" s="1"/>
  <c r="K63" i="49"/>
  <c r="J63"/>
  <c r="J63" i="64" s="1"/>
  <c r="AF63" i="49"/>
  <c r="AF120" s="1"/>
  <c r="AE63"/>
  <c r="E63"/>
  <c r="E63" i="64" s="1"/>
  <c r="E69" s="1"/>
  <c r="D63" i="49"/>
  <c r="D63" i="64" s="1"/>
  <c r="D69" s="1"/>
  <c r="C63" i="49"/>
  <c r="AE120"/>
  <c r="D50"/>
  <c r="D50" i="64" s="1"/>
  <c r="C50" i="49"/>
  <c r="C50" i="64" s="1"/>
  <c r="E49" i="49"/>
  <c r="E49" i="64" s="1"/>
  <c r="E54" s="1"/>
  <c r="D49" i="49"/>
  <c r="D49" i="64" s="1"/>
  <c r="D54" s="1"/>
  <c r="C49" i="49"/>
  <c r="C49" i="64" s="1"/>
  <c r="J58" i="49"/>
  <c r="K26"/>
  <c r="K26" i="64" s="1"/>
  <c r="K36" s="1"/>
  <c r="J26" i="49"/>
  <c r="J26" i="64" s="1"/>
  <c r="E26" i="49"/>
  <c r="E26" i="64" s="1"/>
  <c r="D26" i="49"/>
  <c r="D26" i="64" s="1"/>
  <c r="C26" i="49"/>
  <c r="C26" i="64" s="1"/>
  <c r="J47" i="49"/>
  <c r="J47" i="64" s="1"/>
  <c r="L47" s="1"/>
  <c r="M47" s="1"/>
  <c r="Z47" s="1"/>
  <c r="AI47" s="1"/>
  <c r="G170" i="48"/>
  <c r="G126"/>
  <c r="G125"/>
  <c r="G124"/>
  <c r="G111"/>
  <c r="G110"/>
  <c r="G109"/>
  <c r="G108"/>
  <c r="G102"/>
  <c r="G101"/>
  <c r="G100"/>
  <c r="G99"/>
  <c r="G91"/>
  <c r="G90"/>
  <c r="G89"/>
  <c r="G88"/>
  <c r="G87"/>
  <c r="G86"/>
  <c r="G85"/>
  <c r="G133"/>
  <c r="G83"/>
  <c r="G81"/>
  <c r="G79"/>
  <c r="G78"/>
  <c r="G77"/>
  <c r="G73"/>
  <c r="G72"/>
  <c r="G71"/>
  <c r="G70"/>
  <c r="G56"/>
  <c r="G54"/>
  <c r="G32"/>
  <c r="G31"/>
  <c r="G30"/>
  <c r="G24"/>
  <c r="C29" i="19"/>
  <c r="D29" s="1"/>
  <c r="C28"/>
  <c r="D28" s="1"/>
  <c r="D34"/>
  <c r="C34"/>
  <c r="B34"/>
  <c r="D33"/>
  <c r="C33"/>
  <c r="B33"/>
  <c r="B32"/>
  <c r="D32"/>
  <c r="C32"/>
  <c r="L26" i="64" l="1"/>
  <c r="C36"/>
  <c r="D36"/>
  <c r="E36"/>
  <c r="C54"/>
  <c r="C120" s="1"/>
  <c r="G120" s="1"/>
  <c r="H124" s="1"/>
  <c r="M12"/>
  <c r="Z12" s="1"/>
  <c r="M81"/>
  <c r="F120"/>
  <c r="G13" i="48"/>
  <c r="G20"/>
  <c r="G64"/>
  <c r="G121"/>
  <c r="G141"/>
  <c r="G15"/>
  <c r="G65"/>
  <c r="G122"/>
  <c r="G142"/>
  <c r="G173"/>
  <c r="G10"/>
  <c r="G25"/>
  <c r="G33"/>
  <c r="G59"/>
  <c r="G74"/>
  <c r="G118"/>
  <c r="G123"/>
  <c r="G138"/>
  <c r="G151"/>
  <c r="G11"/>
  <c r="G34"/>
  <c r="G63"/>
  <c r="G75"/>
  <c r="G80"/>
  <c r="G120"/>
  <c r="G140"/>
  <c r="G152"/>
  <c r="J69" i="49"/>
  <c r="J58" i="64"/>
  <c r="L58" s="1"/>
  <c r="M58" s="1"/>
  <c r="Z58" s="1"/>
  <c r="AI58" s="1"/>
  <c r="AI59"/>
  <c r="Z59"/>
  <c r="M113"/>
  <c r="I119"/>
  <c r="I87"/>
  <c r="M79"/>
  <c r="G87"/>
  <c r="G20"/>
  <c r="L20"/>
  <c r="L87"/>
  <c r="L56"/>
  <c r="J69"/>
  <c r="J54"/>
  <c r="J20"/>
  <c r="K69" i="49"/>
  <c r="K63" i="64"/>
  <c r="L63" s="1"/>
  <c r="L25"/>
  <c r="J36"/>
  <c r="I20"/>
  <c r="M10"/>
  <c r="Z10" s="1"/>
  <c r="Z20" s="1"/>
  <c r="Z81"/>
  <c r="AI81" s="1"/>
  <c r="M45"/>
  <c r="G119" i="49"/>
  <c r="G113" i="64"/>
  <c r="G119" s="1"/>
  <c r="M52"/>
  <c r="Z52" s="1"/>
  <c r="AI52" s="1"/>
  <c r="L54"/>
  <c r="M105"/>
  <c r="I111"/>
  <c r="D58" i="65"/>
  <c r="C58"/>
  <c r="G56" i="64"/>
  <c r="Z22"/>
  <c r="D120"/>
  <c r="C69" i="49"/>
  <c r="C63" i="64"/>
  <c r="C69" s="1"/>
  <c r="M56"/>
  <c r="Z83"/>
  <c r="AI83" s="1"/>
  <c r="E120"/>
  <c r="K58" i="65"/>
  <c r="K83"/>
  <c r="G56"/>
  <c r="K61"/>
  <c r="K18"/>
  <c r="J21"/>
  <c r="K13"/>
  <c r="G36" i="34"/>
  <c r="G29" i="65"/>
  <c r="G36" s="1"/>
  <c r="J56"/>
  <c r="K62"/>
  <c r="K15"/>
  <c r="I21"/>
  <c r="K59"/>
  <c r="F36" i="34"/>
  <c r="F29" i="65"/>
  <c r="F36" s="1"/>
  <c r="F120" s="1"/>
  <c r="I87"/>
  <c r="K81"/>
  <c r="E54" i="49"/>
  <c r="D69"/>
  <c r="G49"/>
  <c r="G49" i="64" s="1"/>
  <c r="G25" i="49"/>
  <c r="G25" i="64" s="1"/>
  <c r="L31" i="38"/>
  <c r="M31" s="1"/>
  <c r="J31"/>
  <c r="L58"/>
  <c r="M58" s="1"/>
  <c r="J58"/>
  <c r="L26"/>
  <c r="M26" s="1"/>
  <c r="J26"/>
  <c r="L57"/>
  <c r="M57" s="1"/>
  <c r="J57"/>
  <c r="I27" i="34"/>
  <c r="I27" i="65" s="1"/>
  <c r="C26" i="34"/>
  <c r="C26" i="65" s="1"/>
  <c r="C14" i="34"/>
  <c r="C14" i="65" s="1"/>
  <c r="D14" i="34"/>
  <c r="D14" i="65" s="1"/>
  <c r="D15" i="34"/>
  <c r="D15" i="65" s="1"/>
  <c r="C15" i="34"/>
  <c r="C15" i="65" s="1"/>
  <c r="D28" i="34"/>
  <c r="D28" i="65" s="1"/>
  <c r="C28" i="34"/>
  <c r="C28" i="65" s="1"/>
  <c r="D85" i="34"/>
  <c r="D85" i="65" s="1"/>
  <c r="C85" i="34"/>
  <c r="C85" i="65" s="1"/>
  <c r="C36" i="49"/>
  <c r="L25" i="38"/>
  <c r="M25" s="1"/>
  <c r="J25"/>
  <c r="D35" i="34"/>
  <c r="D35" i="65" s="1"/>
  <c r="C35" i="34"/>
  <c r="C35" i="65" s="1"/>
  <c r="E69" i="49"/>
  <c r="D54"/>
  <c r="G20"/>
  <c r="D11" i="34"/>
  <c r="D11" i="65" s="1"/>
  <c r="C11" i="34"/>
  <c r="C11" i="65" s="1"/>
  <c r="D64" i="34"/>
  <c r="D64" i="65" s="1"/>
  <c r="C64" i="34"/>
  <c r="C64" i="65" s="1"/>
  <c r="L29" i="38"/>
  <c r="M29" s="1"/>
  <c r="J29"/>
  <c r="L53"/>
  <c r="M53" s="1"/>
  <c r="J53"/>
  <c r="D105" i="34"/>
  <c r="D105" i="65" s="1"/>
  <c r="D111" s="1"/>
  <c r="G111" i="49"/>
  <c r="C105" i="34"/>
  <c r="C105" i="65" s="1"/>
  <c r="C111" s="1"/>
  <c r="D68" i="34"/>
  <c r="D68" i="65" s="1"/>
  <c r="C68" i="34"/>
  <c r="C68" i="65" s="1"/>
  <c r="L45" i="38"/>
  <c r="M45" s="1"/>
  <c r="J45"/>
  <c r="L51"/>
  <c r="M51" s="1"/>
  <c r="J51"/>
  <c r="C54" i="49"/>
  <c r="L39" i="38"/>
  <c r="M39" s="1"/>
  <c r="J39"/>
  <c r="I20" i="49"/>
  <c r="G55" i="34"/>
  <c r="G55" i="65" s="1"/>
  <c r="F55" i="34"/>
  <c r="F55" i="65" s="1"/>
  <c r="D17" i="48"/>
  <c r="G26" i="49"/>
  <c r="G26" i="64" s="1"/>
  <c r="J27" i="34"/>
  <c r="K36" i="49"/>
  <c r="G63"/>
  <c r="G63" i="64" s="1"/>
  <c r="G24" i="38"/>
  <c r="L28"/>
  <c r="M28" s="1"/>
  <c r="J28"/>
  <c r="L41"/>
  <c r="M41" s="1"/>
  <c r="J41"/>
  <c r="K59"/>
  <c r="L17"/>
  <c r="M17" s="1"/>
  <c r="J17"/>
  <c r="C25" i="34"/>
  <c r="C25" i="65" s="1"/>
  <c r="D25" i="34"/>
  <c r="D25" i="65" s="1"/>
  <c r="D81" i="34"/>
  <c r="D81" i="65" s="1"/>
  <c r="C81" i="34"/>
  <c r="C81" i="65" s="1"/>
  <c r="G87" i="49"/>
  <c r="D59" i="34"/>
  <c r="D59" i="65" s="1"/>
  <c r="C59" i="34"/>
  <c r="C59" i="65" s="1"/>
  <c r="D62" i="34"/>
  <c r="D62" i="65" s="1"/>
  <c r="C62" i="34"/>
  <c r="C62" i="65" s="1"/>
  <c r="L35" i="38"/>
  <c r="M35" s="1"/>
  <c r="J35"/>
  <c r="L27"/>
  <c r="M27" s="1"/>
  <c r="J27"/>
  <c r="L40"/>
  <c r="M40" s="1"/>
  <c r="J40"/>
  <c r="L55"/>
  <c r="M55" s="1"/>
  <c r="J55"/>
  <c r="L16"/>
  <c r="M16" s="1"/>
  <c r="J16"/>
  <c r="E36" i="49"/>
  <c r="L30" i="38"/>
  <c r="M30" s="1"/>
  <c r="J30"/>
  <c r="L21"/>
  <c r="M21" s="1"/>
  <c r="J21"/>
  <c r="L44"/>
  <c r="M44" s="1"/>
  <c r="J44"/>
  <c r="L49"/>
  <c r="M49" s="1"/>
  <c r="J49"/>
  <c r="D50" i="34"/>
  <c r="D50" i="65" s="1"/>
  <c r="C50" i="34"/>
  <c r="C50" i="65" s="1"/>
  <c r="J65" i="34"/>
  <c r="J65" i="65" s="1"/>
  <c r="J71" s="1"/>
  <c r="I26" i="34"/>
  <c r="I26" i="65" s="1"/>
  <c r="J36" i="49"/>
  <c r="K24" i="38"/>
  <c r="M24" s="1"/>
  <c r="J24"/>
  <c r="L52"/>
  <c r="M52" s="1"/>
  <c r="J52"/>
  <c r="D67" i="34"/>
  <c r="D67" i="65" s="1"/>
  <c r="C67" i="34"/>
  <c r="C67" i="65" s="1"/>
  <c r="L23" i="38"/>
  <c r="M23" s="1"/>
  <c r="J23"/>
  <c r="L34"/>
  <c r="M34" s="1"/>
  <c r="J34"/>
  <c r="I48" i="34"/>
  <c r="I48" i="65" s="1"/>
  <c r="I56" s="1"/>
  <c r="I60" i="34"/>
  <c r="I60" i="65" s="1"/>
  <c r="K60" s="1"/>
  <c r="G50" i="49"/>
  <c r="G50" i="64" s="1"/>
  <c r="I65" i="34"/>
  <c r="I65" i="65" s="1"/>
  <c r="D12" i="34"/>
  <c r="D12" i="65" s="1"/>
  <c r="C12" i="34"/>
  <c r="C12" i="65" s="1"/>
  <c r="C13" i="34"/>
  <c r="C13" i="65" s="1"/>
  <c r="D13" i="34"/>
  <c r="D13" i="65" s="1"/>
  <c r="D63" i="34"/>
  <c r="D63" i="65" s="1"/>
  <c r="C63" i="34"/>
  <c r="C63" i="65" s="1"/>
  <c r="G59" i="38"/>
  <c r="I59"/>
  <c r="L59" s="1"/>
  <c r="D36" i="49"/>
  <c r="D32" i="34"/>
  <c r="D32" i="65" s="1"/>
  <c r="C32" i="34"/>
  <c r="C32" i="65" s="1"/>
  <c r="L42" i="38"/>
  <c r="M42" s="1"/>
  <c r="J42"/>
  <c r="C83" i="34"/>
  <c r="C83" i="65" s="1"/>
  <c r="D83" i="34"/>
  <c r="D83" i="65" s="1"/>
  <c r="C47" i="34"/>
  <c r="C47" i="65" s="1"/>
  <c r="D47" i="34"/>
  <c r="D47" i="65" s="1"/>
  <c r="D61" i="34"/>
  <c r="D61" i="65" s="1"/>
  <c r="C61" i="34"/>
  <c r="C61" i="65" s="1"/>
  <c r="C53" i="34"/>
  <c r="C53" i="65" s="1"/>
  <c r="D53" i="34"/>
  <c r="D53" i="65" s="1"/>
  <c r="C29" i="34"/>
  <c r="C29" i="65" s="1"/>
  <c r="D29" i="34"/>
  <c r="D29" i="65" s="1"/>
  <c r="L38" i="38"/>
  <c r="M38" s="1"/>
  <c r="J38"/>
  <c r="D46" i="34"/>
  <c r="D46" i="65" s="1"/>
  <c r="C46" i="34"/>
  <c r="C46" i="65" s="1"/>
  <c r="G54" i="49"/>
  <c r="G69"/>
  <c r="D58" i="34"/>
  <c r="C58"/>
  <c r="J54" i="49"/>
  <c r="I55" i="34" s="1"/>
  <c r="I55" i="65" s="1"/>
  <c r="Z17" i="49"/>
  <c r="Z18"/>
  <c r="AF122"/>
  <c r="L25"/>
  <c r="I49"/>
  <c r="I25"/>
  <c r="I50"/>
  <c r="I50" i="64" s="1"/>
  <c r="M50" s="1"/>
  <c r="Z50" s="1"/>
  <c r="AI50" s="1"/>
  <c r="I26" i="49"/>
  <c r="I26" i="64" s="1"/>
  <c r="I63" i="49"/>
  <c r="Y25"/>
  <c r="E33" i="19"/>
  <c r="F33" s="1"/>
  <c r="E34"/>
  <c r="F34" s="1"/>
  <c r="E32"/>
  <c r="F32" s="1"/>
  <c r="M26" i="64" l="1"/>
  <c r="Z26" s="1"/>
  <c r="AI26" s="1"/>
  <c r="L36"/>
  <c r="G36"/>
  <c r="G54"/>
  <c r="K69"/>
  <c r="K120" s="1"/>
  <c r="D32" i="39" s="1"/>
  <c r="I69" i="49"/>
  <c r="I63" i="64"/>
  <c r="I69" s="1"/>
  <c r="I54" i="49"/>
  <c r="I49" i="64"/>
  <c r="J120"/>
  <c r="D31" i="39" s="1"/>
  <c r="M119" i="64"/>
  <c r="Z113"/>
  <c r="Z119" s="1"/>
  <c r="AI22"/>
  <c r="Z45"/>
  <c r="AI45" s="1"/>
  <c r="M20"/>
  <c r="M87"/>
  <c r="AI87" s="1"/>
  <c r="Z79"/>
  <c r="Z87" s="1"/>
  <c r="G69"/>
  <c r="M111"/>
  <c r="Z105"/>
  <c r="Z111" s="1"/>
  <c r="M25" i="49"/>
  <c r="I25" i="64"/>
  <c r="D26" i="34"/>
  <c r="D26" i="65" s="1"/>
  <c r="Z56" i="64"/>
  <c r="AI56" s="1"/>
  <c r="E58" i="65"/>
  <c r="L58" s="1"/>
  <c r="X58" s="1"/>
  <c r="L69" i="64"/>
  <c r="I36" i="65"/>
  <c r="K87"/>
  <c r="G120"/>
  <c r="K65"/>
  <c r="K71" s="1"/>
  <c r="D50" i="39"/>
  <c r="K21" i="65"/>
  <c r="D21"/>
  <c r="C21"/>
  <c r="I71"/>
  <c r="I120" s="1"/>
  <c r="J36" i="34"/>
  <c r="J27" i="65"/>
  <c r="J36" s="1"/>
  <c r="J120" s="1"/>
  <c r="C87"/>
  <c r="D87"/>
  <c r="I36" i="34"/>
  <c r="C51"/>
  <c r="C51" i="65" s="1"/>
  <c r="C56" s="1"/>
  <c r="D51" i="34"/>
  <c r="D51" i="65" s="1"/>
  <c r="D56" s="1"/>
  <c r="J59" i="38"/>
  <c r="M59"/>
  <c r="D65" i="34"/>
  <c r="D65" i="65" s="1"/>
  <c r="D71" s="1"/>
  <c r="C65" i="34"/>
  <c r="C65" i="65" s="1"/>
  <c r="C71" s="1"/>
  <c r="D27" i="34"/>
  <c r="C27"/>
  <c r="G36" i="49"/>
  <c r="I36"/>
  <c r="B54" i="39"/>
  <c r="D31" i="19"/>
  <c r="C31"/>
  <c r="B31"/>
  <c r="AI119" i="64" l="1"/>
  <c r="L120"/>
  <c r="AI113"/>
  <c r="AI105"/>
  <c r="AI79"/>
  <c r="AI20"/>
  <c r="M25"/>
  <c r="I36"/>
  <c r="AI111"/>
  <c r="Z25" i="49"/>
  <c r="AI25" s="1"/>
  <c r="M49" i="64"/>
  <c r="I54"/>
  <c r="M63"/>
  <c r="C36" i="34"/>
  <c r="C27" i="65"/>
  <c r="C36" s="1"/>
  <c r="C120" s="1"/>
  <c r="D36" i="34"/>
  <c r="D27" i="65"/>
  <c r="D36" s="1"/>
  <c r="D120" s="1"/>
  <c r="E31" i="19"/>
  <c r="E59" i="34"/>
  <c r="E59" i="65" s="1"/>
  <c r="H59" i="34"/>
  <c r="H59" i="65" s="1"/>
  <c r="K59" i="34"/>
  <c r="P59"/>
  <c r="P59" i="65" s="1"/>
  <c r="S59" i="34"/>
  <c r="S59" i="65" s="1"/>
  <c r="V59" i="34"/>
  <c r="V59" i="65" s="1"/>
  <c r="E60" i="34"/>
  <c r="E60" i="65" s="1"/>
  <c r="H60" i="34"/>
  <c r="H60" i="65" s="1"/>
  <c r="K60" i="34"/>
  <c r="P60"/>
  <c r="P60" i="65" s="1"/>
  <c r="S60" i="34"/>
  <c r="S60" i="65" s="1"/>
  <c r="V60" i="34"/>
  <c r="V60" i="65" s="1"/>
  <c r="E61" i="34"/>
  <c r="E61" i="65" s="1"/>
  <c r="H61" i="34"/>
  <c r="H61" i="65" s="1"/>
  <c r="K61" i="34"/>
  <c r="P61"/>
  <c r="P61" i="65" s="1"/>
  <c r="S61" i="34"/>
  <c r="S61" i="65" s="1"/>
  <c r="V61" i="34"/>
  <c r="V61" i="65" s="1"/>
  <c r="E62" i="34"/>
  <c r="E62" i="65" s="1"/>
  <c r="H62" i="34"/>
  <c r="H62" i="65" s="1"/>
  <c r="K62" i="34"/>
  <c r="P62"/>
  <c r="P62" i="65" s="1"/>
  <c r="S62" i="34"/>
  <c r="S62" i="65" s="1"/>
  <c r="V62" i="34"/>
  <c r="V62" i="65" s="1"/>
  <c r="E63" i="34"/>
  <c r="E63" i="65" s="1"/>
  <c r="H63" i="34"/>
  <c r="H63" i="65" s="1"/>
  <c r="K63" i="34"/>
  <c r="P63"/>
  <c r="P63" i="65" s="1"/>
  <c r="S63" i="34"/>
  <c r="S63" i="65" s="1"/>
  <c r="V63" i="34"/>
  <c r="V63" i="65" s="1"/>
  <c r="E64" i="34"/>
  <c r="E64" i="65" s="1"/>
  <c r="H64" i="34"/>
  <c r="H64" i="65" s="1"/>
  <c r="K64" i="34"/>
  <c r="P64"/>
  <c r="P64" i="65" s="1"/>
  <c r="S64" i="34"/>
  <c r="S64" i="65" s="1"/>
  <c r="V64" i="34"/>
  <c r="V64" i="65" s="1"/>
  <c r="E65" i="34"/>
  <c r="E65" i="65" s="1"/>
  <c r="H65" i="34"/>
  <c r="H65" i="65" s="1"/>
  <c r="K65" i="34"/>
  <c r="P65"/>
  <c r="P65" i="65" s="1"/>
  <c r="S65" i="34"/>
  <c r="S65" i="65" s="1"/>
  <c r="V65" i="34"/>
  <c r="V65" i="65" s="1"/>
  <c r="E66" i="34"/>
  <c r="E66" i="65" s="1"/>
  <c r="H66" i="34"/>
  <c r="H66" i="65" s="1"/>
  <c r="K66" i="34"/>
  <c r="P66"/>
  <c r="P66" i="65" s="1"/>
  <c r="S66" i="34"/>
  <c r="S66" i="65" s="1"/>
  <c r="V66" i="34"/>
  <c r="V66" i="65" s="1"/>
  <c r="E67" i="34"/>
  <c r="E67" i="65" s="1"/>
  <c r="H67" i="34"/>
  <c r="H67" i="65" s="1"/>
  <c r="K67" i="34"/>
  <c r="P67"/>
  <c r="P67" i="65" s="1"/>
  <c r="S67" i="34"/>
  <c r="S67" i="65" s="1"/>
  <c r="V67" i="34"/>
  <c r="V67" i="65" s="1"/>
  <c r="E68" i="34"/>
  <c r="E68" i="65" s="1"/>
  <c r="H68" i="34"/>
  <c r="H68" i="65" s="1"/>
  <c r="K68" i="34"/>
  <c r="P68"/>
  <c r="P68" i="65" s="1"/>
  <c r="S68" i="34"/>
  <c r="S68" i="65" s="1"/>
  <c r="V68" i="34"/>
  <c r="V68" i="65" s="1"/>
  <c r="E69" i="34"/>
  <c r="E69" i="65" s="1"/>
  <c r="H69" i="34"/>
  <c r="H69" i="65" s="1"/>
  <c r="K69" i="34"/>
  <c r="P69"/>
  <c r="P69" i="65" s="1"/>
  <c r="S69" i="34"/>
  <c r="S69" i="65" s="1"/>
  <c r="V69" i="34"/>
  <c r="V69" i="65" s="1"/>
  <c r="E70" i="34"/>
  <c r="E70" i="65" s="1"/>
  <c r="H70" i="34"/>
  <c r="H70" i="65" s="1"/>
  <c r="K70" i="34"/>
  <c r="P70"/>
  <c r="P70" i="65" s="1"/>
  <c r="S70" i="34"/>
  <c r="S70" i="65" s="1"/>
  <c r="V70" i="34"/>
  <c r="V70" i="65" s="1"/>
  <c r="E24" i="34"/>
  <c r="E24" i="65" s="1"/>
  <c r="H24" i="34"/>
  <c r="H24" i="65" s="1"/>
  <c r="K24" i="34"/>
  <c r="K24" i="65" s="1"/>
  <c r="P24" i="34"/>
  <c r="P24" i="65" s="1"/>
  <c r="S24" i="34"/>
  <c r="S24" i="65" s="1"/>
  <c r="V24" i="34"/>
  <c r="V24" i="65" s="1"/>
  <c r="E25" i="34"/>
  <c r="E25" i="65" s="1"/>
  <c r="H25" i="34"/>
  <c r="H25" i="65" s="1"/>
  <c r="K25" i="34"/>
  <c r="K25" i="65" s="1"/>
  <c r="P25" i="34"/>
  <c r="P25" i="65" s="1"/>
  <c r="S25" i="34"/>
  <c r="S25" i="65" s="1"/>
  <c r="V25" i="34"/>
  <c r="V25" i="65" s="1"/>
  <c r="E26" i="34"/>
  <c r="E26" i="65" s="1"/>
  <c r="H26" i="34"/>
  <c r="H26" i="65" s="1"/>
  <c r="K26" i="34"/>
  <c r="K26" i="65" s="1"/>
  <c r="P26" i="34"/>
  <c r="P26" i="65" s="1"/>
  <c r="S26" i="34"/>
  <c r="S26" i="65" s="1"/>
  <c r="V26" i="34"/>
  <c r="V26" i="65" s="1"/>
  <c r="E27" i="34"/>
  <c r="E27" i="65" s="1"/>
  <c r="H27" i="34"/>
  <c r="H27" i="65" s="1"/>
  <c r="K27" i="34"/>
  <c r="K27" i="65" s="1"/>
  <c r="P27" i="34"/>
  <c r="P27" i="65" s="1"/>
  <c r="S27" i="34"/>
  <c r="S27" i="65" s="1"/>
  <c r="V27" i="34"/>
  <c r="V27" i="65" s="1"/>
  <c r="E28" i="34"/>
  <c r="E28" i="65" s="1"/>
  <c r="H28" i="34"/>
  <c r="H28" i="65" s="1"/>
  <c r="K28" i="34"/>
  <c r="K28" i="65" s="1"/>
  <c r="P28" i="34"/>
  <c r="P28" i="65" s="1"/>
  <c r="S28" i="34"/>
  <c r="S28" i="65" s="1"/>
  <c r="V28" i="34"/>
  <c r="V28" i="65" s="1"/>
  <c r="E29" i="34"/>
  <c r="E29" i="65" s="1"/>
  <c r="H29" i="34"/>
  <c r="H29" i="65" s="1"/>
  <c r="K29" i="34"/>
  <c r="K29" i="65" s="1"/>
  <c r="P29" i="34"/>
  <c r="P29" i="65" s="1"/>
  <c r="S29" i="34"/>
  <c r="S29" i="65" s="1"/>
  <c r="V29" i="34"/>
  <c r="V29" i="65" s="1"/>
  <c r="E30" i="34"/>
  <c r="E30" i="65" s="1"/>
  <c r="H30" i="34"/>
  <c r="H30" i="65" s="1"/>
  <c r="K30" i="34"/>
  <c r="K30" i="65" s="1"/>
  <c r="P30" i="34"/>
  <c r="P30" i="65" s="1"/>
  <c r="S30" i="34"/>
  <c r="S30" i="65" s="1"/>
  <c r="V30" i="34"/>
  <c r="V30" i="65" s="1"/>
  <c r="E31" i="34"/>
  <c r="E31" i="65" s="1"/>
  <c r="H31" i="34"/>
  <c r="H31" i="65" s="1"/>
  <c r="K31" i="34"/>
  <c r="K31" i="65" s="1"/>
  <c r="P31" i="34"/>
  <c r="P31" i="65" s="1"/>
  <c r="S31" i="34"/>
  <c r="S31" i="65" s="1"/>
  <c r="V31" i="34"/>
  <c r="V31" i="65" s="1"/>
  <c r="E32" i="34"/>
  <c r="E32" i="65" s="1"/>
  <c r="H32" i="34"/>
  <c r="H32" i="65" s="1"/>
  <c r="K32" i="34"/>
  <c r="K32" i="65" s="1"/>
  <c r="P32" i="34"/>
  <c r="P32" i="65" s="1"/>
  <c r="S32" i="34"/>
  <c r="S32" i="65" s="1"/>
  <c r="V32" i="34"/>
  <c r="V32" i="65" s="1"/>
  <c r="E33" i="34"/>
  <c r="E33" i="65" s="1"/>
  <c r="H33" i="34"/>
  <c r="H33" i="65" s="1"/>
  <c r="K33" i="34"/>
  <c r="K33" i="65" s="1"/>
  <c r="P33" i="34"/>
  <c r="P33" i="65" s="1"/>
  <c r="S33" i="34"/>
  <c r="S33" i="65" s="1"/>
  <c r="V33" i="34"/>
  <c r="V33" i="65" s="1"/>
  <c r="E34" i="34"/>
  <c r="E34" i="65" s="1"/>
  <c r="H34" i="34"/>
  <c r="H34" i="65" s="1"/>
  <c r="K34" i="34"/>
  <c r="K34" i="65" s="1"/>
  <c r="P34" i="34"/>
  <c r="P34" i="65" s="1"/>
  <c r="S34" i="34"/>
  <c r="S34" i="65" s="1"/>
  <c r="V34" i="34"/>
  <c r="V34" i="65" s="1"/>
  <c r="E35" i="34"/>
  <c r="E35" i="65" s="1"/>
  <c r="H35" i="34"/>
  <c r="H35" i="65" s="1"/>
  <c r="K35" i="34"/>
  <c r="K35" i="65" s="1"/>
  <c r="P35" i="34"/>
  <c r="P35" i="65" s="1"/>
  <c r="S35" i="34"/>
  <c r="S35" i="65" s="1"/>
  <c r="V35" i="34"/>
  <c r="V35" i="65" s="1"/>
  <c r="E12" i="34"/>
  <c r="E12" i="65" s="1"/>
  <c r="H12" i="34"/>
  <c r="H12" i="65" s="1"/>
  <c r="K12" i="34"/>
  <c r="P12"/>
  <c r="P12" i="65" s="1"/>
  <c r="S12" i="34"/>
  <c r="S12" i="65" s="1"/>
  <c r="V12" i="34"/>
  <c r="V12" i="65" s="1"/>
  <c r="E13" i="34"/>
  <c r="E13" i="65" s="1"/>
  <c r="H13" i="34"/>
  <c r="H13" i="65" s="1"/>
  <c r="K13" i="34"/>
  <c r="P13"/>
  <c r="P13" i="65" s="1"/>
  <c r="S13" i="34"/>
  <c r="S13" i="65" s="1"/>
  <c r="V13" i="34"/>
  <c r="V13" i="65" s="1"/>
  <c r="E14" i="34"/>
  <c r="E14" i="65" s="1"/>
  <c r="H14" i="34"/>
  <c r="H14" i="65" s="1"/>
  <c r="K14" i="34"/>
  <c r="P14"/>
  <c r="P14" i="65" s="1"/>
  <c r="S14" i="34"/>
  <c r="S14" i="65" s="1"/>
  <c r="V14" i="34"/>
  <c r="V14" i="65" s="1"/>
  <c r="E15" i="34"/>
  <c r="E15" i="65" s="1"/>
  <c r="H15" i="34"/>
  <c r="H15" i="65" s="1"/>
  <c r="K15" i="34"/>
  <c r="P15"/>
  <c r="P15" i="65" s="1"/>
  <c r="S15" i="34"/>
  <c r="S15" i="65" s="1"/>
  <c r="V15" i="34"/>
  <c r="V15" i="65" s="1"/>
  <c r="E16" i="34"/>
  <c r="E16" i="65" s="1"/>
  <c r="H16" i="34"/>
  <c r="H16" i="65" s="1"/>
  <c r="K16" i="34"/>
  <c r="P16"/>
  <c r="P16" i="65" s="1"/>
  <c r="S16" i="34"/>
  <c r="S16" i="65" s="1"/>
  <c r="V16" i="34"/>
  <c r="V16" i="65" s="1"/>
  <c r="E17" i="34"/>
  <c r="E17" i="65" s="1"/>
  <c r="H17" i="34"/>
  <c r="H17" i="65" s="1"/>
  <c r="K17" i="34"/>
  <c r="P17"/>
  <c r="P17" i="65" s="1"/>
  <c r="S17" i="34"/>
  <c r="S17" i="65" s="1"/>
  <c r="V17" i="34"/>
  <c r="V17" i="65" s="1"/>
  <c r="E18" i="34"/>
  <c r="E18" i="65" s="1"/>
  <c r="H18" i="34"/>
  <c r="H18" i="65" s="1"/>
  <c r="K18" i="34"/>
  <c r="P18"/>
  <c r="P18" i="65" s="1"/>
  <c r="S18" i="34"/>
  <c r="S18" i="65" s="1"/>
  <c r="V18" i="34"/>
  <c r="V18" i="65" s="1"/>
  <c r="E19" i="34"/>
  <c r="E19" i="65" s="1"/>
  <c r="H19" i="34"/>
  <c r="H19" i="65" s="1"/>
  <c r="K19" i="34"/>
  <c r="P19"/>
  <c r="P19" i="65" s="1"/>
  <c r="S19" i="34"/>
  <c r="S19" i="65" s="1"/>
  <c r="V19" i="34"/>
  <c r="V19" i="65" s="1"/>
  <c r="E20" i="34"/>
  <c r="E20" i="65" s="1"/>
  <c r="H20" i="34"/>
  <c r="H20" i="65" s="1"/>
  <c r="K20" i="34"/>
  <c r="P20"/>
  <c r="P20" i="65" s="1"/>
  <c r="S20" i="34"/>
  <c r="S20" i="65" s="1"/>
  <c r="V20" i="34"/>
  <c r="V20" i="65" s="1"/>
  <c r="L60" i="49"/>
  <c r="X60"/>
  <c r="L61"/>
  <c r="X61"/>
  <c r="Y61" s="1"/>
  <c r="L57"/>
  <c r="X57"/>
  <c r="L58"/>
  <c r="X58"/>
  <c r="L59"/>
  <c r="M59" s="1"/>
  <c r="X59"/>
  <c r="L31"/>
  <c r="X31"/>
  <c r="Y31" s="1"/>
  <c r="L62"/>
  <c r="M62" s="1"/>
  <c r="X62"/>
  <c r="Y62" s="1"/>
  <c r="L34"/>
  <c r="X34"/>
  <c r="Y34" s="1"/>
  <c r="L79"/>
  <c r="X79"/>
  <c r="L82"/>
  <c r="X82"/>
  <c r="Y82" s="1"/>
  <c r="L66"/>
  <c r="M66" s="1"/>
  <c r="X66"/>
  <c r="Y66" s="1"/>
  <c r="L68"/>
  <c r="X68"/>
  <c r="Y68" s="1"/>
  <c r="L50"/>
  <c r="X50"/>
  <c r="Y50" s="1"/>
  <c r="L105"/>
  <c r="X105"/>
  <c r="L22"/>
  <c r="X22"/>
  <c r="L23"/>
  <c r="X23"/>
  <c r="Y23" s="1"/>
  <c r="L24"/>
  <c r="X24"/>
  <c r="Y24" s="1"/>
  <c r="L26"/>
  <c r="X26"/>
  <c r="L27"/>
  <c r="X27"/>
  <c r="Y27" s="1"/>
  <c r="L28"/>
  <c r="M28" s="1"/>
  <c r="X28"/>
  <c r="L29"/>
  <c r="M29" s="1"/>
  <c r="X29"/>
  <c r="L30"/>
  <c r="M30" s="1"/>
  <c r="X30"/>
  <c r="Y30" s="1"/>
  <c r="L113"/>
  <c r="X113"/>
  <c r="L80"/>
  <c r="M80" s="1"/>
  <c r="X80"/>
  <c r="Y80" s="1"/>
  <c r="L13"/>
  <c r="X13"/>
  <c r="Y13" s="1"/>
  <c r="L14"/>
  <c r="X14"/>
  <c r="L15"/>
  <c r="M15" s="1"/>
  <c r="X15"/>
  <c r="Y15" s="1"/>
  <c r="L16"/>
  <c r="X16"/>
  <c r="L19"/>
  <c r="M19" s="1"/>
  <c r="X19"/>
  <c r="I120" i="64" l="1"/>
  <c r="J132" s="1"/>
  <c r="J134" s="1"/>
  <c r="Z49"/>
  <c r="Z54" s="1"/>
  <c r="M54"/>
  <c r="V71" i="65"/>
  <c r="Z63" i="64"/>
  <c r="M69"/>
  <c r="Z25"/>
  <c r="M36"/>
  <c r="W20" i="65"/>
  <c r="W25"/>
  <c r="W70"/>
  <c r="W68"/>
  <c r="W66"/>
  <c r="W64"/>
  <c r="W69"/>
  <c r="W67"/>
  <c r="W65"/>
  <c r="W63"/>
  <c r="W61"/>
  <c r="K64" i="2"/>
  <c r="H61"/>
  <c r="L20" i="65"/>
  <c r="X20" s="1"/>
  <c r="L18"/>
  <c r="L16"/>
  <c r="L14"/>
  <c r="L12"/>
  <c r="L34"/>
  <c r="L32"/>
  <c r="L30"/>
  <c r="L28"/>
  <c r="L26"/>
  <c r="W18"/>
  <c r="W16"/>
  <c r="W14"/>
  <c r="W12"/>
  <c r="W34"/>
  <c r="W32"/>
  <c r="W30"/>
  <c r="W28"/>
  <c r="W26"/>
  <c r="W24"/>
  <c r="L24"/>
  <c r="L69"/>
  <c r="L67"/>
  <c r="L65"/>
  <c r="X65" s="1"/>
  <c r="L63"/>
  <c r="L61"/>
  <c r="W62"/>
  <c r="W60"/>
  <c r="W59"/>
  <c r="P71"/>
  <c r="E71"/>
  <c r="L59"/>
  <c r="W19"/>
  <c r="W17"/>
  <c r="W15"/>
  <c r="W13"/>
  <c r="W35"/>
  <c r="W33"/>
  <c r="W31"/>
  <c r="W29"/>
  <c r="W27"/>
  <c r="H71"/>
  <c r="S71"/>
  <c r="L19"/>
  <c r="L17"/>
  <c r="L15"/>
  <c r="L13"/>
  <c r="L35"/>
  <c r="L33"/>
  <c r="L31"/>
  <c r="L29"/>
  <c r="L27"/>
  <c r="L25"/>
  <c r="L70"/>
  <c r="X70" s="1"/>
  <c r="L68"/>
  <c r="X68" s="1"/>
  <c r="L66"/>
  <c r="X66" s="1"/>
  <c r="L64"/>
  <c r="L62"/>
  <c r="L60"/>
  <c r="M22" i="49"/>
  <c r="Y113"/>
  <c r="Y79"/>
  <c r="W35" i="34"/>
  <c r="W31"/>
  <c r="W65"/>
  <c r="W62"/>
  <c r="W59"/>
  <c r="W30"/>
  <c r="L62"/>
  <c r="L60"/>
  <c r="L34"/>
  <c r="L18"/>
  <c r="W70"/>
  <c r="L26"/>
  <c r="L70"/>
  <c r="W14"/>
  <c r="W60"/>
  <c r="W26"/>
  <c r="W18"/>
  <c r="W13"/>
  <c r="W34"/>
  <c r="W29"/>
  <c r="W28"/>
  <c r="W68"/>
  <c r="W67"/>
  <c r="W66"/>
  <c r="L17"/>
  <c r="L16"/>
  <c r="L33"/>
  <c r="L32"/>
  <c r="L29"/>
  <c r="L68"/>
  <c r="L66"/>
  <c r="L19"/>
  <c r="L14"/>
  <c r="L35"/>
  <c r="L30"/>
  <c r="L27"/>
  <c r="L24"/>
  <c r="W19"/>
  <c r="W17"/>
  <c r="W16"/>
  <c r="W33"/>
  <c r="W32"/>
  <c r="W27"/>
  <c r="W25"/>
  <c r="W24"/>
  <c r="W69"/>
  <c r="W64"/>
  <c r="W63"/>
  <c r="W61"/>
  <c r="L25"/>
  <c r="L69"/>
  <c r="L64"/>
  <c r="L63"/>
  <c r="L61"/>
  <c r="W20"/>
  <c r="W15"/>
  <c r="W12"/>
  <c r="L20"/>
  <c r="L15"/>
  <c r="L13"/>
  <c r="L12"/>
  <c r="L31"/>
  <c r="L28"/>
  <c r="L67"/>
  <c r="L65"/>
  <c r="L59"/>
  <c r="Y59" i="49"/>
  <c r="Z15"/>
  <c r="M16"/>
  <c r="M57"/>
  <c r="M61"/>
  <c r="Z61" s="1"/>
  <c r="M105"/>
  <c r="M27"/>
  <c r="Z27" s="1"/>
  <c r="M24"/>
  <c r="Z24" s="1"/>
  <c r="M50"/>
  <c r="Z50" s="1"/>
  <c r="M58"/>
  <c r="Z66"/>
  <c r="AI66" s="1"/>
  <c r="M113"/>
  <c r="Z30"/>
  <c r="AI30" s="1"/>
  <c r="M79"/>
  <c r="M34"/>
  <c r="Z34" s="1"/>
  <c r="Y58"/>
  <c r="Y57"/>
  <c r="M60"/>
  <c r="Z80"/>
  <c r="AI80" s="1"/>
  <c r="Y14"/>
  <c r="Y26"/>
  <c r="M23"/>
  <c r="Z23" s="1"/>
  <c r="M82"/>
  <c r="Z82" s="1"/>
  <c r="Z62"/>
  <c r="AI62" s="1"/>
  <c r="Y19"/>
  <c r="Z19" s="1"/>
  <c r="Y16"/>
  <c r="M14"/>
  <c r="M13"/>
  <c r="Z13" s="1"/>
  <c r="Y29"/>
  <c r="Y28"/>
  <c r="M26"/>
  <c r="Y22"/>
  <c r="Y105"/>
  <c r="M68"/>
  <c r="Z68" s="1"/>
  <c r="M31"/>
  <c r="Z31" s="1"/>
  <c r="Y60"/>
  <c r="G82" i="48"/>
  <c r="D30" i="39" l="1"/>
  <c r="Z28" i="49"/>
  <c r="AI28"/>
  <c r="M120" i="64"/>
  <c r="AI24" i="49"/>
  <c r="Z29"/>
  <c r="AI29" s="1"/>
  <c r="Z59"/>
  <c r="AI59"/>
  <c r="AI61"/>
  <c r="AI25" i="64"/>
  <c r="Z36"/>
  <c r="AI36" s="1"/>
  <c r="AI31" i="49"/>
  <c r="AI34"/>
  <c r="AI27"/>
  <c r="X35" i="65"/>
  <c r="AI68" i="49"/>
  <c r="AI54" i="64"/>
  <c r="AI82" i="49"/>
  <c r="X13" i="65"/>
  <c r="X67"/>
  <c r="AI63" i="64"/>
  <c r="Z69"/>
  <c r="AI69" s="1"/>
  <c r="AI49"/>
  <c r="AI50" i="49"/>
  <c r="AI23"/>
  <c r="X30" i="65"/>
  <c r="X32"/>
  <c r="X64"/>
  <c r="X25"/>
  <c r="X63"/>
  <c r="X17"/>
  <c r="X61"/>
  <c r="X69"/>
  <c r="X12"/>
  <c r="X16"/>
  <c r="X62"/>
  <c r="X14"/>
  <c r="X34"/>
  <c r="X18"/>
  <c r="X28"/>
  <c r="X26"/>
  <c r="X59" i="34"/>
  <c r="X62"/>
  <c r="X24" i="65"/>
  <c r="X60"/>
  <c r="X59"/>
  <c r="W71"/>
  <c r="X31"/>
  <c r="X15"/>
  <c r="X29"/>
  <c r="X33"/>
  <c r="X65" i="34"/>
  <c r="X27" i="65"/>
  <c r="X19"/>
  <c r="L71"/>
  <c r="X30" i="34"/>
  <c r="X31"/>
  <c r="X35"/>
  <c r="Z113" i="49"/>
  <c r="AI113" s="1"/>
  <c r="Z79"/>
  <c r="AI79" s="1"/>
  <c r="X67" i="34"/>
  <c r="Z22" i="49"/>
  <c r="AI22" s="1"/>
  <c r="X70" i="34"/>
  <c r="X60"/>
  <c r="X26"/>
  <c r="X34"/>
  <c r="X32"/>
  <c r="X27"/>
  <c r="X18"/>
  <c r="X17"/>
  <c r="X16"/>
  <c r="X13"/>
  <c r="X14"/>
  <c r="X20"/>
  <c r="X64"/>
  <c r="X68"/>
  <c r="X28"/>
  <c r="X24"/>
  <c r="X33"/>
  <c r="X19"/>
  <c r="X66"/>
  <c r="X29"/>
  <c r="X61"/>
  <c r="X12"/>
  <c r="X69"/>
  <c r="X15"/>
  <c r="X63"/>
  <c r="X25"/>
  <c r="Z105" i="49"/>
  <c r="AI105" s="1"/>
  <c r="Z58"/>
  <c r="AI58" s="1"/>
  <c r="Z16"/>
  <c r="Z57"/>
  <c r="AI57" s="1"/>
  <c r="Z60"/>
  <c r="AI60" s="1"/>
  <c r="Z14"/>
  <c r="Z26"/>
  <c r="AI26" s="1"/>
  <c r="Z120" i="64" l="1"/>
  <c r="AI120" s="1"/>
  <c r="AC120"/>
  <c r="X71" i="65"/>
  <c r="AF123" i="64" l="1"/>
  <c r="N29" i="39"/>
  <c r="E318" i="58" l="1"/>
  <c r="H154" l="1"/>
  <c r="E320"/>
  <c r="D318"/>
  <c r="D320" s="1"/>
  <c r="U119" i="34" l="1"/>
  <c r="T119"/>
  <c r="R119"/>
  <c r="Q119"/>
  <c r="O119"/>
  <c r="N119"/>
  <c r="V118"/>
  <c r="S118"/>
  <c r="P118"/>
  <c r="V117"/>
  <c r="S117"/>
  <c r="P117"/>
  <c r="V116"/>
  <c r="S116"/>
  <c r="P116"/>
  <c r="W116" s="1"/>
  <c r="V115"/>
  <c r="S115"/>
  <c r="P115"/>
  <c r="V114"/>
  <c r="S114"/>
  <c r="P114"/>
  <c r="V113"/>
  <c r="S113"/>
  <c r="P113"/>
  <c r="U111"/>
  <c r="T111"/>
  <c r="R111"/>
  <c r="Q111"/>
  <c r="O111"/>
  <c r="N111"/>
  <c r="V110"/>
  <c r="S110"/>
  <c r="P110"/>
  <c r="V109"/>
  <c r="S109"/>
  <c r="P109"/>
  <c r="V108"/>
  <c r="S108"/>
  <c r="P108"/>
  <c r="W108" s="1"/>
  <c r="V107"/>
  <c r="S107"/>
  <c r="P107"/>
  <c r="V106"/>
  <c r="S106"/>
  <c r="P106"/>
  <c r="V105"/>
  <c r="S105"/>
  <c r="P105"/>
  <c r="U103"/>
  <c r="T103"/>
  <c r="R103"/>
  <c r="Q103"/>
  <c r="O103"/>
  <c r="N103"/>
  <c r="V102"/>
  <c r="S102"/>
  <c r="P102"/>
  <c r="V101"/>
  <c r="S101"/>
  <c r="P101"/>
  <c r="V100"/>
  <c r="S100"/>
  <c r="P100"/>
  <c r="V99"/>
  <c r="S99"/>
  <c r="P99"/>
  <c r="V98"/>
  <c r="S98"/>
  <c r="P98"/>
  <c r="V97"/>
  <c r="S97"/>
  <c r="P97"/>
  <c r="U95"/>
  <c r="T95"/>
  <c r="R95"/>
  <c r="Q95"/>
  <c r="O95"/>
  <c r="N95"/>
  <c r="V94"/>
  <c r="S94"/>
  <c r="P94"/>
  <c r="V93"/>
  <c r="S93"/>
  <c r="P93"/>
  <c r="V92"/>
  <c r="S92"/>
  <c r="P92"/>
  <c r="V91"/>
  <c r="S91"/>
  <c r="P91"/>
  <c r="V90"/>
  <c r="S90"/>
  <c r="P90"/>
  <c r="V89"/>
  <c r="S89"/>
  <c r="P89"/>
  <c r="U87"/>
  <c r="T87"/>
  <c r="R87"/>
  <c r="Q87"/>
  <c r="O87"/>
  <c r="N87"/>
  <c r="V86"/>
  <c r="V86" i="65" s="1"/>
  <c r="S86" i="34"/>
  <c r="S86" i="65" s="1"/>
  <c r="P86" i="34"/>
  <c r="P86" i="65" s="1"/>
  <c r="V85" i="34"/>
  <c r="V85" i="65" s="1"/>
  <c r="S85" i="34"/>
  <c r="S85" i="65" s="1"/>
  <c r="P85" i="34"/>
  <c r="V84"/>
  <c r="V84" i="65" s="1"/>
  <c r="S84" i="34"/>
  <c r="S84" i="65" s="1"/>
  <c r="P84" i="34"/>
  <c r="V83"/>
  <c r="V83" i="65" s="1"/>
  <c r="S83" i="34"/>
  <c r="S83" i="65" s="1"/>
  <c r="P83" i="34"/>
  <c r="P83" i="65" s="1"/>
  <c r="W83" s="1"/>
  <c r="V82" i="34"/>
  <c r="V82" i="65" s="1"/>
  <c r="S82" i="34"/>
  <c r="S82" i="65" s="1"/>
  <c r="P82" i="34"/>
  <c r="P82" i="65" s="1"/>
  <c r="V81" i="34"/>
  <c r="V81" i="65" s="1"/>
  <c r="S81" i="34"/>
  <c r="S81" i="65" s="1"/>
  <c r="P81" i="34"/>
  <c r="P81" i="65" s="1"/>
  <c r="U79" i="34"/>
  <c r="T79"/>
  <c r="R79"/>
  <c r="Q79"/>
  <c r="O79"/>
  <c r="N79"/>
  <c r="V78"/>
  <c r="S78"/>
  <c r="P78"/>
  <c r="V77"/>
  <c r="S77"/>
  <c r="P77"/>
  <c r="V76"/>
  <c r="S76"/>
  <c r="P76"/>
  <c r="V75"/>
  <c r="S75"/>
  <c r="P75"/>
  <c r="V74"/>
  <c r="S74"/>
  <c r="P74"/>
  <c r="V73"/>
  <c r="S73"/>
  <c r="P73"/>
  <c r="U71"/>
  <c r="T71"/>
  <c r="R71"/>
  <c r="Q71"/>
  <c r="O71"/>
  <c r="N71"/>
  <c r="V58"/>
  <c r="V71" s="1"/>
  <c r="S58"/>
  <c r="P58"/>
  <c r="U56"/>
  <c r="T56"/>
  <c r="R56"/>
  <c r="Q56"/>
  <c r="O56"/>
  <c r="N56"/>
  <c r="V55"/>
  <c r="V55" i="65" s="1"/>
  <c r="S55" i="34"/>
  <c r="S55" i="65" s="1"/>
  <c r="P55" i="34"/>
  <c r="P55" i="65" s="1"/>
  <c r="W55" s="1"/>
  <c r="V54" i="34"/>
  <c r="V54" i="65" s="1"/>
  <c r="S54" i="34"/>
  <c r="S54" i="65" s="1"/>
  <c r="P54" i="34"/>
  <c r="P54" i="65" s="1"/>
  <c r="W54" s="1"/>
  <c r="V53" i="34"/>
  <c r="V53" i="65" s="1"/>
  <c r="S53" i="34"/>
  <c r="S53" i="65" s="1"/>
  <c r="P53" i="34"/>
  <c r="P53" i="65" s="1"/>
  <c r="V52" i="34"/>
  <c r="V52" i="65" s="1"/>
  <c r="S52" i="34"/>
  <c r="S52" i="65" s="1"/>
  <c r="P52" i="34"/>
  <c r="P52" i="65" s="1"/>
  <c r="V47" i="34"/>
  <c r="V47" i="65" s="1"/>
  <c r="S47" i="34"/>
  <c r="S47" i="65" s="1"/>
  <c r="P47" i="34"/>
  <c r="P47" i="65" s="1"/>
  <c r="W47" s="1"/>
  <c r="V46" i="34"/>
  <c r="V46" i="65" s="1"/>
  <c r="S46" i="34"/>
  <c r="S46" i="65" s="1"/>
  <c r="P46" i="34"/>
  <c r="P46" i="65" s="1"/>
  <c r="U44" i="34"/>
  <c r="T44"/>
  <c r="R44"/>
  <c r="Q44"/>
  <c r="O44"/>
  <c r="N44"/>
  <c r="V43"/>
  <c r="S43"/>
  <c r="P43"/>
  <c r="V42"/>
  <c r="S42"/>
  <c r="P42"/>
  <c r="V41"/>
  <c r="S41"/>
  <c r="P41"/>
  <c r="V40"/>
  <c r="S40"/>
  <c r="P40"/>
  <c r="V39"/>
  <c r="S39"/>
  <c r="P39"/>
  <c r="V38"/>
  <c r="S38"/>
  <c r="P38"/>
  <c r="U36"/>
  <c r="T36"/>
  <c r="R36"/>
  <c r="Q36"/>
  <c r="O36"/>
  <c r="N36"/>
  <c r="V23"/>
  <c r="S23"/>
  <c r="P23"/>
  <c r="P23" i="65" s="1"/>
  <c r="U21" i="34"/>
  <c r="T21"/>
  <c r="R21"/>
  <c r="Q21"/>
  <c r="O21"/>
  <c r="N21"/>
  <c r="V11"/>
  <c r="S11"/>
  <c r="P11"/>
  <c r="P11" i="65" s="1"/>
  <c r="J119" i="34"/>
  <c r="I119"/>
  <c r="G119"/>
  <c r="F119"/>
  <c r="D119"/>
  <c r="C119"/>
  <c r="K118"/>
  <c r="H118"/>
  <c r="E118"/>
  <c r="K117"/>
  <c r="H117"/>
  <c r="E117"/>
  <c r="K116"/>
  <c r="H116"/>
  <c r="E116"/>
  <c r="K115"/>
  <c r="H115"/>
  <c r="E115"/>
  <c r="K114"/>
  <c r="H114"/>
  <c r="E114"/>
  <c r="K113"/>
  <c r="K113" i="65" s="1"/>
  <c r="K119" s="1"/>
  <c r="H113" i="34"/>
  <c r="H113" i="65" s="1"/>
  <c r="H119" s="1"/>
  <c r="E113" i="34"/>
  <c r="E113" i="65" s="1"/>
  <c r="J111" i="34"/>
  <c r="I111"/>
  <c r="G111"/>
  <c r="F111"/>
  <c r="D111"/>
  <c r="C111"/>
  <c r="K110"/>
  <c r="H110"/>
  <c r="E110"/>
  <c r="K109"/>
  <c r="H109"/>
  <c r="E109"/>
  <c r="K108"/>
  <c r="H108"/>
  <c r="E108"/>
  <c r="K107"/>
  <c r="H107"/>
  <c r="E107"/>
  <c r="K106"/>
  <c r="H106"/>
  <c r="E106"/>
  <c r="K105"/>
  <c r="K105" i="65" s="1"/>
  <c r="K111" s="1"/>
  <c r="H105" i="34"/>
  <c r="H105" i="65" s="1"/>
  <c r="H111" s="1"/>
  <c r="E105" i="34"/>
  <c r="E105" i="65" s="1"/>
  <c r="X118" i="49"/>
  <c r="L118"/>
  <c r="I118"/>
  <c r="X117"/>
  <c r="L117"/>
  <c r="I117"/>
  <c r="X116"/>
  <c r="L116"/>
  <c r="I116"/>
  <c r="X115"/>
  <c r="L115"/>
  <c r="I115"/>
  <c r="X114"/>
  <c r="L114"/>
  <c r="I114"/>
  <c r="X110"/>
  <c r="L110"/>
  <c r="I110"/>
  <c r="X109"/>
  <c r="L109"/>
  <c r="I109"/>
  <c r="X108"/>
  <c r="L108"/>
  <c r="I108"/>
  <c r="X107"/>
  <c r="L107"/>
  <c r="I107"/>
  <c r="X106"/>
  <c r="L106"/>
  <c r="L111" s="1"/>
  <c r="I106"/>
  <c r="V87" i="65" l="1"/>
  <c r="W52"/>
  <c r="X119" i="49"/>
  <c r="V36" i="34"/>
  <c r="V23" i="65"/>
  <c r="V36" s="1"/>
  <c r="S44" i="34"/>
  <c r="W53" i="65"/>
  <c r="W117" i="34"/>
  <c r="V56" i="65"/>
  <c r="S87"/>
  <c r="V21" i="34"/>
  <c r="V11" i="65"/>
  <c r="V21" s="1"/>
  <c r="W82"/>
  <c r="W86"/>
  <c r="X86" s="1"/>
  <c r="W90" i="34"/>
  <c r="W94"/>
  <c r="P21" i="65"/>
  <c r="W81"/>
  <c r="W85" i="34"/>
  <c r="P85" i="65"/>
  <c r="W85" s="1"/>
  <c r="S56"/>
  <c r="S21" i="34"/>
  <c r="S11" i="65"/>
  <c r="S21" s="1"/>
  <c r="P36"/>
  <c r="E111"/>
  <c r="L105"/>
  <c r="E119"/>
  <c r="L113"/>
  <c r="W84" i="34"/>
  <c r="P84" i="65"/>
  <c r="W84" s="1"/>
  <c r="S36" i="34"/>
  <c r="S23" i="65"/>
  <c r="S36" s="1"/>
  <c r="P56"/>
  <c r="W46"/>
  <c r="I111" i="49"/>
  <c r="O120" i="34"/>
  <c r="X111" i="49"/>
  <c r="E111" i="34"/>
  <c r="U120"/>
  <c r="V44"/>
  <c r="S87"/>
  <c r="I119" i="49"/>
  <c r="W47" i="34"/>
  <c r="W55"/>
  <c r="V79"/>
  <c r="W99"/>
  <c r="L119" i="49"/>
  <c r="K119" i="34"/>
  <c r="R120"/>
  <c r="W54"/>
  <c r="W46"/>
  <c r="W11"/>
  <c r="W21" s="1"/>
  <c r="Q120"/>
  <c r="N120"/>
  <c r="S79"/>
  <c r="V87"/>
  <c r="W107"/>
  <c r="S119"/>
  <c r="H111"/>
  <c r="W75"/>
  <c r="W83"/>
  <c r="V119"/>
  <c r="Y107" i="49"/>
  <c r="Y108"/>
  <c r="Y110"/>
  <c r="Y118"/>
  <c r="Y106"/>
  <c r="W89" i="34"/>
  <c r="W42"/>
  <c r="W98"/>
  <c r="L108"/>
  <c r="X108" s="1"/>
  <c r="L110"/>
  <c r="L114"/>
  <c r="L118"/>
  <c r="W41"/>
  <c r="L115"/>
  <c r="W93"/>
  <c r="W74"/>
  <c r="W78"/>
  <c r="W102"/>
  <c r="V103"/>
  <c r="V111"/>
  <c r="L106"/>
  <c r="L113"/>
  <c r="L117"/>
  <c r="X117" s="1"/>
  <c r="W23"/>
  <c r="P36"/>
  <c r="W39"/>
  <c r="W43"/>
  <c r="V56"/>
  <c r="W52"/>
  <c r="S71"/>
  <c r="W73"/>
  <c r="W77"/>
  <c r="P79"/>
  <c r="W82"/>
  <c r="W86"/>
  <c r="V95"/>
  <c r="W91"/>
  <c r="S103"/>
  <c r="W100"/>
  <c r="W105"/>
  <c r="W109"/>
  <c r="W111" s="1"/>
  <c r="P111"/>
  <c r="W114"/>
  <c r="X114" s="1"/>
  <c r="W118"/>
  <c r="X118" s="1"/>
  <c r="L107"/>
  <c r="X107" s="1"/>
  <c r="T120"/>
  <c r="W40"/>
  <c r="S56"/>
  <c r="W53"/>
  <c r="W58"/>
  <c r="W71" s="1"/>
  <c r="S95"/>
  <c r="W92"/>
  <c r="W97"/>
  <c r="W101"/>
  <c r="W106"/>
  <c r="W110"/>
  <c r="W115"/>
  <c r="P56"/>
  <c r="P95"/>
  <c r="L105"/>
  <c r="L109"/>
  <c r="H119"/>
  <c r="L116"/>
  <c r="X116" s="1"/>
  <c r="W38"/>
  <c r="W76"/>
  <c r="W81"/>
  <c r="S111"/>
  <c r="W113"/>
  <c r="M115" i="49"/>
  <c r="M116"/>
  <c r="M107"/>
  <c r="Y116"/>
  <c r="M114"/>
  <c r="M118"/>
  <c r="Y117"/>
  <c r="M110"/>
  <c r="M106"/>
  <c r="Y109"/>
  <c r="M108"/>
  <c r="M109"/>
  <c r="M117"/>
  <c r="Y114"/>
  <c r="Y115"/>
  <c r="P21" i="34"/>
  <c r="P44"/>
  <c r="P71"/>
  <c r="P87"/>
  <c r="P103"/>
  <c r="P119"/>
  <c r="E119"/>
  <c r="K111"/>
  <c r="W103" i="49"/>
  <c r="V103"/>
  <c r="R103"/>
  <c r="Q103"/>
  <c r="P103"/>
  <c r="O103"/>
  <c r="X102"/>
  <c r="X101"/>
  <c r="X100"/>
  <c r="X99"/>
  <c r="X98"/>
  <c r="X97"/>
  <c r="W95"/>
  <c r="V95"/>
  <c r="R95"/>
  <c r="Q95"/>
  <c r="P95"/>
  <c r="O95"/>
  <c r="X94"/>
  <c r="X93"/>
  <c r="X92"/>
  <c r="X91"/>
  <c r="X90"/>
  <c r="X89"/>
  <c r="X86"/>
  <c r="X85"/>
  <c r="X84"/>
  <c r="W77"/>
  <c r="V77"/>
  <c r="R77"/>
  <c r="R120" s="1"/>
  <c r="Q77"/>
  <c r="Q120" s="1"/>
  <c r="P77"/>
  <c r="O77"/>
  <c r="O120" s="1"/>
  <c r="X76"/>
  <c r="X75"/>
  <c r="X74"/>
  <c r="X73"/>
  <c r="X72"/>
  <c r="X71"/>
  <c r="X56"/>
  <c r="X53"/>
  <c r="X47"/>
  <c r="X33"/>
  <c r="X32"/>
  <c r="X46"/>
  <c r="X45"/>
  <c r="X42"/>
  <c r="X43" s="1"/>
  <c r="X52"/>
  <c r="X64"/>
  <c r="X65"/>
  <c r="X83"/>
  <c r="X63"/>
  <c r="X51"/>
  <c r="X81"/>
  <c r="X49"/>
  <c r="X12"/>
  <c r="X11"/>
  <c r="X10"/>
  <c r="L11"/>
  <c r="L10"/>
  <c r="P120" l="1"/>
  <c r="X106" i="34"/>
  <c r="X20" i="49"/>
  <c r="V120" i="65"/>
  <c r="W11"/>
  <c r="W21" s="1"/>
  <c r="Y119" i="49"/>
  <c r="L119" i="65"/>
  <c r="X119" s="1"/>
  <c r="X113"/>
  <c r="W56"/>
  <c r="L111"/>
  <c r="X111" s="1"/>
  <c r="X105"/>
  <c r="W87"/>
  <c r="S120"/>
  <c r="W23"/>
  <c r="P87"/>
  <c r="P120" s="1"/>
  <c r="L119" i="34"/>
  <c r="X36" i="49"/>
  <c r="X87"/>
  <c r="X54"/>
  <c r="S103"/>
  <c r="S120" s="1"/>
  <c r="X69"/>
  <c r="M111"/>
  <c r="M119"/>
  <c r="X115" i="34"/>
  <c r="W44"/>
  <c r="Y111" i="49"/>
  <c r="V120" i="34"/>
  <c r="W79"/>
  <c r="W95"/>
  <c r="Z118" i="49"/>
  <c r="AI118" s="1"/>
  <c r="Z107"/>
  <c r="AI107" s="1"/>
  <c r="Z106"/>
  <c r="AI106" s="1"/>
  <c r="Z110"/>
  <c r="AI110" s="1"/>
  <c r="Z108"/>
  <c r="AI108" s="1"/>
  <c r="Z117"/>
  <c r="AI117" s="1"/>
  <c r="Z114"/>
  <c r="AI114" s="1"/>
  <c r="Z116"/>
  <c r="AI116" s="1"/>
  <c r="S120" i="34"/>
  <c r="W103"/>
  <c r="X113"/>
  <c r="X110"/>
  <c r="W119"/>
  <c r="X105"/>
  <c r="P120"/>
  <c r="L111"/>
  <c r="X111" s="1"/>
  <c r="X109"/>
  <c r="W87"/>
  <c r="W36"/>
  <c r="W56"/>
  <c r="Y86" i="49"/>
  <c r="Y93"/>
  <c r="Y98"/>
  <c r="Y100"/>
  <c r="Z115"/>
  <c r="AI115" s="1"/>
  <c r="Y102"/>
  <c r="Z109"/>
  <c r="AI109" s="1"/>
  <c r="Y42"/>
  <c r="Y65"/>
  <c r="Y33"/>
  <c r="Y53"/>
  <c r="Y72"/>
  <c r="Y85"/>
  <c r="Y81"/>
  <c r="Y64"/>
  <c r="Y73"/>
  <c r="U77"/>
  <c r="Y92"/>
  <c r="Y94"/>
  <c r="Y99"/>
  <c r="Y101"/>
  <c r="X95"/>
  <c r="Y12"/>
  <c r="Y47"/>
  <c r="Y90"/>
  <c r="U103"/>
  <c r="Y83"/>
  <c r="Y45"/>
  <c r="Y32"/>
  <c r="Y74"/>
  <c r="Y76"/>
  <c r="Y89"/>
  <c r="Y91"/>
  <c r="Y51"/>
  <c r="Y52"/>
  <c r="X77"/>
  <c r="Y84"/>
  <c r="X103"/>
  <c r="Y75"/>
  <c r="Y11"/>
  <c r="U95"/>
  <c r="Y63"/>
  <c r="Y49"/>
  <c r="Y71"/>
  <c r="Y10"/>
  <c r="Y46"/>
  <c r="Y56"/>
  <c r="Y97"/>
  <c r="B21" i="39"/>
  <c r="Y43" i="49" l="1"/>
  <c r="W36" i="65"/>
  <c r="X119" i="34"/>
  <c r="Y54" i="49"/>
  <c r="Y87"/>
  <c r="Y69"/>
  <c r="Y36"/>
  <c r="Y20"/>
  <c r="Z119"/>
  <c r="Z111"/>
  <c r="AI111" s="1"/>
  <c r="W120" i="34"/>
  <c r="Y95" i="49"/>
  <c r="Y103"/>
  <c r="Y77"/>
  <c r="D13" i="19"/>
  <c r="E13"/>
  <c r="C27"/>
  <c r="D27"/>
  <c r="E27"/>
  <c r="B27"/>
  <c r="AI119" i="49" l="1"/>
  <c r="W120" i="65"/>
  <c r="J103" i="34"/>
  <c r="I103"/>
  <c r="G103"/>
  <c r="F103"/>
  <c r="D103"/>
  <c r="C103"/>
  <c r="K102"/>
  <c r="H102"/>
  <c r="E102"/>
  <c r="K101"/>
  <c r="H101"/>
  <c r="E101"/>
  <c r="K100"/>
  <c r="H100"/>
  <c r="E100"/>
  <c r="K99"/>
  <c r="H99"/>
  <c r="E99"/>
  <c r="K98"/>
  <c r="H98"/>
  <c r="E98"/>
  <c r="K97"/>
  <c r="H97"/>
  <c r="E97"/>
  <c r="J95"/>
  <c r="I95"/>
  <c r="G95"/>
  <c r="F95"/>
  <c r="D95"/>
  <c r="C95"/>
  <c r="K94"/>
  <c r="H94"/>
  <c r="E94"/>
  <c r="K93"/>
  <c r="H93"/>
  <c r="E93"/>
  <c r="K92"/>
  <c r="H92"/>
  <c r="E92"/>
  <c r="K91"/>
  <c r="H91"/>
  <c r="E91"/>
  <c r="K90"/>
  <c r="H90"/>
  <c r="E90"/>
  <c r="K89"/>
  <c r="H89"/>
  <c r="E89"/>
  <c r="J87"/>
  <c r="I87"/>
  <c r="G87"/>
  <c r="F87"/>
  <c r="D87"/>
  <c r="C87"/>
  <c r="K86"/>
  <c r="H86"/>
  <c r="E86"/>
  <c r="K85"/>
  <c r="H85"/>
  <c r="H85" i="65" s="1"/>
  <c r="E85" i="34"/>
  <c r="E85" i="65" s="1"/>
  <c r="L85" s="1"/>
  <c r="X85" s="1"/>
  <c r="K84" i="34"/>
  <c r="H84"/>
  <c r="H84" i="65" s="1"/>
  <c r="E84" i="34"/>
  <c r="E84" i="65" s="1"/>
  <c r="L84" s="1"/>
  <c r="X84" s="1"/>
  <c r="K83" i="34"/>
  <c r="H83"/>
  <c r="H83" i="65" s="1"/>
  <c r="E83" i="34"/>
  <c r="E83" i="65" s="1"/>
  <c r="L83" s="1"/>
  <c r="X83" s="1"/>
  <c r="K82" i="34"/>
  <c r="H82"/>
  <c r="H82" i="65" s="1"/>
  <c r="E82" i="34"/>
  <c r="E82" i="65" s="1"/>
  <c r="L82" s="1"/>
  <c r="X82" s="1"/>
  <c r="K81" i="34"/>
  <c r="H81"/>
  <c r="H81" i="65" s="1"/>
  <c r="H87" s="1"/>
  <c r="E81" i="34"/>
  <c r="E81" i="65" s="1"/>
  <c r="J79" i="34"/>
  <c r="I79"/>
  <c r="G79"/>
  <c r="F79"/>
  <c r="D79"/>
  <c r="C79"/>
  <c r="K78"/>
  <c r="H78"/>
  <c r="E78"/>
  <c r="K77"/>
  <c r="H77"/>
  <c r="E77"/>
  <c r="K76"/>
  <c r="H76"/>
  <c r="E76"/>
  <c r="K75"/>
  <c r="H75"/>
  <c r="E75"/>
  <c r="K74"/>
  <c r="H74"/>
  <c r="E74"/>
  <c r="K73"/>
  <c r="H73"/>
  <c r="E73"/>
  <c r="J71"/>
  <c r="I71"/>
  <c r="G71"/>
  <c r="F71"/>
  <c r="D71"/>
  <c r="C71"/>
  <c r="K58"/>
  <c r="H58"/>
  <c r="E58"/>
  <c r="J56"/>
  <c r="I56"/>
  <c r="G56"/>
  <c r="F56"/>
  <c r="D56"/>
  <c r="C56"/>
  <c r="K55"/>
  <c r="K55" i="65" s="1"/>
  <c r="H55" i="34"/>
  <c r="H55" i="65" s="1"/>
  <c r="E55" i="34"/>
  <c r="E55" i="65" s="1"/>
  <c r="K54" i="34"/>
  <c r="K54" i="65" s="1"/>
  <c r="L54" s="1"/>
  <c r="X54" s="1"/>
  <c r="H54" i="34"/>
  <c r="H54" i="65" s="1"/>
  <c r="E54" i="34"/>
  <c r="E54" i="65" s="1"/>
  <c r="K53" i="34"/>
  <c r="K53" i="65" s="1"/>
  <c r="H53" i="34"/>
  <c r="H53" i="65" s="1"/>
  <c r="E53" i="34"/>
  <c r="E53" i="65" s="1"/>
  <c r="K52" i="34"/>
  <c r="K52" i="65" s="1"/>
  <c r="H52" i="34"/>
  <c r="H52" i="65" s="1"/>
  <c r="E52" i="34"/>
  <c r="E52" i="65" s="1"/>
  <c r="L52" s="1"/>
  <c r="X52" s="1"/>
  <c r="K47" i="34"/>
  <c r="K47" i="65" s="1"/>
  <c r="H47" i="34"/>
  <c r="H47" i="65" s="1"/>
  <c r="E47" i="34"/>
  <c r="E47" i="65" s="1"/>
  <c r="K46" i="34"/>
  <c r="K46" i="65" s="1"/>
  <c r="K56" s="1"/>
  <c r="H46" i="34"/>
  <c r="H46" i="65" s="1"/>
  <c r="E46" i="34"/>
  <c r="E46" i="65" s="1"/>
  <c r="J44" i="34"/>
  <c r="I44"/>
  <c r="G44"/>
  <c r="F44"/>
  <c r="D44"/>
  <c r="C44"/>
  <c r="K43"/>
  <c r="H43"/>
  <c r="E43"/>
  <c r="K42"/>
  <c r="H42"/>
  <c r="E42"/>
  <c r="K41"/>
  <c r="H41"/>
  <c r="E41"/>
  <c r="K40"/>
  <c r="H40"/>
  <c r="E40"/>
  <c r="K39"/>
  <c r="H39"/>
  <c r="E39"/>
  <c r="K38"/>
  <c r="H38"/>
  <c r="E38"/>
  <c r="K23"/>
  <c r="H23"/>
  <c r="E23"/>
  <c r="D21"/>
  <c r="F21"/>
  <c r="G21"/>
  <c r="I21"/>
  <c r="J21"/>
  <c r="H11"/>
  <c r="H11" i="65" s="1"/>
  <c r="H21" s="1"/>
  <c r="K103" i="49"/>
  <c r="J103"/>
  <c r="H103"/>
  <c r="E103"/>
  <c r="D103"/>
  <c r="C103"/>
  <c r="L102"/>
  <c r="I102"/>
  <c r="L101"/>
  <c r="I101"/>
  <c r="L100"/>
  <c r="I100"/>
  <c r="L99"/>
  <c r="I99"/>
  <c r="L98"/>
  <c r="I98"/>
  <c r="L97"/>
  <c r="I97"/>
  <c r="K95"/>
  <c r="J95"/>
  <c r="H95"/>
  <c r="E95"/>
  <c r="D95"/>
  <c r="C95"/>
  <c r="L94"/>
  <c r="I94"/>
  <c r="L93"/>
  <c r="I93"/>
  <c r="L92"/>
  <c r="I92"/>
  <c r="L91"/>
  <c r="I91"/>
  <c r="L90"/>
  <c r="I90"/>
  <c r="L89"/>
  <c r="I89"/>
  <c r="L86"/>
  <c r="I86"/>
  <c r="L85"/>
  <c r="I85"/>
  <c r="L84"/>
  <c r="I84"/>
  <c r="K77"/>
  <c r="J77"/>
  <c r="H77"/>
  <c r="E77"/>
  <c r="D77"/>
  <c r="C77"/>
  <c r="C120" s="1"/>
  <c r="L76"/>
  <c r="I76"/>
  <c r="L75"/>
  <c r="I75"/>
  <c r="L74"/>
  <c r="I74"/>
  <c r="L73"/>
  <c r="I73"/>
  <c r="L72"/>
  <c r="I72"/>
  <c r="L71"/>
  <c r="I71"/>
  <c r="L56"/>
  <c r="L53"/>
  <c r="L47"/>
  <c r="L33"/>
  <c r="L32"/>
  <c r="L46"/>
  <c r="L45"/>
  <c r="L42"/>
  <c r="L43" s="1"/>
  <c r="L52"/>
  <c r="L64"/>
  <c r="L65"/>
  <c r="L83"/>
  <c r="L63"/>
  <c r="L51"/>
  <c r="L81"/>
  <c r="L49"/>
  <c r="M10"/>
  <c r="I87" l="1"/>
  <c r="L55" i="65"/>
  <c r="X55" s="1"/>
  <c r="L53"/>
  <c r="X53" s="1"/>
  <c r="H36" i="34"/>
  <c r="H23" i="65"/>
  <c r="H36" s="1"/>
  <c r="E36" i="34"/>
  <c r="E23" i="65"/>
  <c r="E87"/>
  <c r="L81"/>
  <c r="E56"/>
  <c r="L46"/>
  <c r="K36" i="34"/>
  <c r="K23" i="65"/>
  <c r="K36" s="1"/>
  <c r="K120" s="1"/>
  <c r="H56"/>
  <c r="L47"/>
  <c r="X47" s="1"/>
  <c r="L36" i="49"/>
  <c r="L54"/>
  <c r="L87"/>
  <c r="L69"/>
  <c r="G120" i="34"/>
  <c r="Z10" i="49"/>
  <c r="J120" i="34"/>
  <c r="D120"/>
  <c r="I120"/>
  <c r="L99"/>
  <c r="X99" s="1"/>
  <c r="L47"/>
  <c r="X47" s="1"/>
  <c r="L55"/>
  <c r="X55" s="1"/>
  <c r="L94"/>
  <c r="X94" s="1"/>
  <c r="L98"/>
  <c r="X98" s="1"/>
  <c r="L102"/>
  <c r="X102" s="1"/>
  <c r="F120"/>
  <c r="H56"/>
  <c r="H71"/>
  <c r="H103"/>
  <c r="H21"/>
  <c r="K44"/>
  <c r="L40"/>
  <c r="X40" s="1"/>
  <c r="L42"/>
  <c r="X42" s="1"/>
  <c r="L54"/>
  <c r="X54" s="1"/>
  <c r="L83"/>
  <c r="X83" s="1"/>
  <c r="L85"/>
  <c r="X85" s="1"/>
  <c r="K95"/>
  <c r="L93"/>
  <c r="X93" s="1"/>
  <c r="L39"/>
  <c r="X39" s="1"/>
  <c r="L41"/>
  <c r="X41" s="1"/>
  <c r="L74"/>
  <c r="X74" s="1"/>
  <c r="L76"/>
  <c r="X76" s="1"/>
  <c r="L82"/>
  <c r="X82" s="1"/>
  <c r="L84"/>
  <c r="X84" s="1"/>
  <c r="L38"/>
  <c r="X38" s="1"/>
  <c r="E56"/>
  <c r="L73"/>
  <c r="X73" s="1"/>
  <c r="E79"/>
  <c r="K56"/>
  <c r="L23"/>
  <c r="E44"/>
  <c r="L53"/>
  <c r="X53" s="1"/>
  <c r="K71"/>
  <c r="H79"/>
  <c r="L78"/>
  <c r="X78" s="1"/>
  <c r="L81"/>
  <c r="X81" s="1"/>
  <c r="E87"/>
  <c r="L90"/>
  <c r="X90" s="1"/>
  <c r="L92"/>
  <c r="X92" s="1"/>
  <c r="K103"/>
  <c r="L101"/>
  <c r="X101" s="1"/>
  <c r="H44"/>
  <c r="L43"/>
  <c r="X43" s="1"/>
  <c r="L52"/>
  <c r="X52" s="1"/>
  <c r="K79"/>
  <c r="L75"/>
  <c r="X75" s="1"/>
  <c r="L77"/>
  <c r="X77" s="1"/>
  <c r="H87"/>
  <c r="L86"/>
  <c r="X86" s="1"/>
  <c r="L89"/>
  <c r="X89" s="1"/>
  <c r="L91"/>
  <c r="X91" s="1"/>
  <c r="E95"/>
  <c r="L100"/>
  <c r="X100" s="1"/>
  <c r="L58"/>
  <c r="E71"/>
  <c r="K87"/>
  <c r="H95"/>
  <c r="L97"/>
  <c r="X97" s="1"/>
  <c r="E103"/>
  <c r="M100" i="49"/>
  <c r="L46" i="34"/>
  <c r="X46" s="1"/>
  <c r="M46" i="49"/>
  <c r="M33"/>
  <c r="M53"/>
  <c r="M72"/>
  <c r="M74"/>
  <c r="M76"/>
  <c r="M101"/>
  <c r="M99"/>
  <c r="M92"/>
  <c r="L103"/>
  <c r="M84"/>
  <c r="M86"/>
  <c r="M98"/>
  <c r="I95"/>
  <c r="M85"/>
  <c r="M73"/>
  <c r="M93"/>
  <c r="M52"/>
  <c r="L95"/>
  <c r="M91"/>
  <c r="I77"/>
  <c r="I120" s="1"/>
  <c r="M90"/>
  <c r="M102"/>
  <c r="M42"/>
  <c r="L77"/>
  <c r="M75"/>
  <c r="M94"/>
  <c r="I103"/>
  <c r="M32"/>
  <c r="M51"/>
  <c r="M64"/>
  <c r="M97"/>
  <c r="M89"/>
  <c r="M71"/>
  <c r="M83"/>
  <c r="M81"/>
  <c r="M65"/>
  <c r="M47"/>
  <c r="M56"/>
  <c r="M45"/>
  <c r="M63"/>
  <c r="M49"/>
  <c r="Z63" l="1"/>
  <c r="AI63"/>
  <c r="Z64"/>
  <c r="AI64" s="1"/>
  <c r="Z49"/>
  <c r="AI49" s="1"/>
  <c r="Z47"/>
  <c r="AI47" s="1"/>
  <c r="Z71"/>
  <c r="AI71" s="1"/>
  <c r="Z51"/>
  <c r="AI51" s="1"/>
  <c r="Z75"/>
  <c r="AI75" s="1"/>
  <c r="Z90"/>
  <c r="AI90" s="1"/>
  <c r="Z52"/>
  <c r="AI52" s="1"/>
  <c r="Z76"/>
  <c r="AI76" s="1"/>
  <c r="Z33"/>
  <c r="AI33" s="1"/>
  <c r="Z65"/>
  <c r="AI65" s="1"/>
  <c r="M36"/>
  <c r="Z93"/>
  <c r="AI93" s="1"/>
  <c r="Z92"/>
  <c r="AI92" s="1"/>
  <c r="Z46"/>
  <c r="AI46" s="1"/>
  <c r="Z98"/>
  <c r="AI98" s="1"/>
  <c r="Z74"/>
  <c r="AI74" s="1"/>
  <c r="Z97"/>
  <c r="AI97" s="1"/>
  <c r="Z91"/>
  <c r="AI91" s="1"/>
  <c r="Z73"/>
  <c r="AI73"/>
  <c r="Z86"/>
  <c r="AI86" s="1"/>
  <c r="Z99"/>
  <c r="AI99"/>
  <c r="Z72"/>
  <c r="AI72" s="1"/>
  <c r="Z89"/>
  <c r="AI89"/>
  <c r="Z83"/>
  <c r="AI83" s="1"/>
  <c r="Z94"/>
  <c r="AI94"/>
  <c r="Z102"/>
  <c r="AI102" s="1"/>
  <c r="Z85"/>
  <c r="AI85"/>
  <c r="Z84"/>
  <c r="AI84" s="1"/>
  <c r="Z101"/>
  <c r="AI101"/>
  <c r="Z53"/>
  <c r="AI53" s="1"/>
  <c r="Z100"/>
  <c r="AI100"/>
  <c r="H120" i="65"/>
  <c r="L87"/>
  <c r="X87" s="1"/>
  <c r="X81"/>
  <c r="L56"/>
  <c r="X56" s="1"/>
  <c r="X46"/>
  <c r="E36"/>
  <c r="L23"/>
  <c r="Z81" i="49"/>
  <c r="AI81" s="1"/>
  <c r="M87"/>
  <c r="Z56"/>
  <c r="Z69" s="1"/>
  <c r="M69"/>
  <c r="Z45"/>
  <c r="AI45" s="1"/>
  <c r="M54"/>
  <c r="X23" i="34"/>
  <c r="L36"/>
  <c r="X36" s="1"/>
  <c r="Z42" i="49"/>
  <c r="AI42" s="1"/>
  <c r="M43"/>
  <c r="Z32"/>
  <c r="Z36" s="1"/>
  <c r="L71" i="34"/>
  <c r="X71" s="1"/>
  <c r="X58"/>
  <c r="H120"/>
  <c r="L79"/>
  <c r="X79" s="1"/>
  <c r="L44"/>
  <c r="X44" s="1"/>
  <c r="L87"/>
  <c r="X87" s="1"/>
  <c r="L95"/>
  <c r="X95" s="1"/>
  <c r="L103"/>
  <c r="X103" s="1"/>
  <c r="L56"/>
  <c r="X56" s="1"/>
  <c r="M103" i="49"/>
  <c r="M95"/>
  <c r="M77"/>
  <c r="Z77" l="1"/>
  <c r="AI77" s="1"/>
  <c r="AI43"/>
  <c r="AI32"/>
  <c r="AI56"/>
  <c r="AI36"/>
  <c r="Z95"/>
  <c r="AI95"/>
  <c r="Z103"/>
  <c r="AI103" s="1"/>
  <c r="AI69"/>
  <c r="L36" i="65"/>
  <c r="X36" s="1"/>
  <c r="X23"/>
  <c r="Z87" i="49"/>
  <c r="AI87" s="1"/>
  <c r="Z54"/>
  <c r="AI54" s="1"/>
  <c r="Z43"/>
  <c r="L12"/>
  <c r="L20" s="1"/>
  <c r="M20" s="1"/>
  <c r="M12" l="1"/>
  <c r="Z12" s="1"/>
  <c r="M11"/>
  <c r="Z11" l="1"/>
  <c r="Z20" s="1"/>
  <c r="Z120" l="1"/>
  <c r="AI20"/>
  <c r="G166" i="48"/>
  <c r="G161"/>
  <c r="G153"/>
  <c r="G150"/>
  <c r="G147"/>
  <c r="G131"/>
  <c r="G128"/>
  <c r="G115"/>
  <c r="G45"/>
  <c r="G42"/>
  <c r="G35"/>
  <c r="G27"/>
  <c r="G22"/>
  <c r="G12"/>
  <c r="G60" l="1"/>
  <c r="F60"/>
  <c r="G175"/>
  <c r="F105"/>
  <c r="G105"/>
  <c r="F50"/>
  <c r="G50"/>
  <c r="C50" i="39"/>
  <c r="B50"/>
  <c r="G103" i="48"/>
  <c r="B47" i="39" l="1"/>
  <c r="C47" l="1"/>
  <c r="D65" i="18"/>
  <c r="H7" i="47"/>
  <c r="D48" i="46" l="1"/>
  <c r="E48"/>
  <c r="F48"/>
  <c r="C48"/>
  <c r="F18"/>
  <c r="E18"/>
  <c r="D18"/>
  <c r="C18"/>
  <c r="H8" i="47"/>
  <c r="H9"/>
  <c r="E65" i="18" l="1"/>
  <c r="F65"/>
  <c r="G65"/>
  <c r="H65"/>
  <c r="B65"/>
  <c r="D47" i="39" l="1"/>
  <c r="D24"/>
  <c r="J44" i="36"/>
  <c r="J45" s="1"/>
  <c r="I44"/>
  <c r="I45" s="1"/>
  <c r="H44"/>
  <c r="H45" s="1"/>
  <c r="G44"/>
  <c r="G45" s="1"/>
  <c r="F44"/>
  <c r="F45" s="1"/>
  <c r="F37"/>
  <c r="E44"/>
  <c r="E45" s="1"/>
  <c r="E37"/>
  <c r="F30"/>
  <c r="G30"/>
  <c r="H30"/>
  <c r="I30"/>
  <c r="J30"/>
  <c r="E30"/>
  <c r="F23"/>
  <c r="G23"/>
  <c r="H23"/>
  <c r="I23"/>
  <c r="J23"/>
  <c r="E23"/>
  <c r="F16"/>
  <c r="G16"/>
  <c r="C33" i="39" s="1"/>
  <c r="H16" i="36"/>
  <c r="I16"/>
  <c r="D33" i="39" s="1"/>
  <c r="J16" i="36"/>
  <c r="E16"/>
  <c r="B29" i="39" s="1"/>
  <c r="H33" l="1"/>
  <c r="AC122" i="49"/>
  <c r="AC122" i="64"/>
  <c r="B13" i="39"/>
  <c r="B39"/>
  <c r="B19"/>
  <c r="C24"/>
  <c r="M162" i="38" l="1"/>
  <c r="J162"/>
  <c r="G162"/>
  <c r="M161"/>
  <c r="J161"/>
  <c r="G161"/>
  <c r="M160"/>
  <c r="J160"/>
  <c r="G160"/>
  <c r="M159"/>
  <c r="J159"/>
  <c r="G159"/>
  <c r="M158"/>
  <c r="J158"/>
  <c r="G158"/>
  <c r="M157"/>
  <c r="J157"/>
  <c r="G157"/>
  <c r="M155"/>
  <c r="J155"/>
  <c r="G155"/>
  <c r="M154"/>
  <c r="J154"/>
  <c r="G154"/>
  <c r="M153"/>
  <c r="J153"/>
  <c r="G153"/>
  <c r="M152"/>
  <c r="J152"/>
  <c r="G152"/>
  <c r="M151"/>
  <c r="J151"/>
  <c r="G151"/>
  <c r="M150"/>
  <c r="J150"/>
  <c r="G150"/>
  <c r="M148"/>
  <c r="J148"/>
  <c r="G148"/>
  <c r="M147"/>
  <c r="J147"/>
  <c r="G147"/>
  <c r="M146"/>
  <c r="J146"/>
  <c r="G146"/>
  <c r="M145"/>
  <c r="J145"/>
  <c r="G145"/>
  <c r="M144"/>
  <c r="J144"/>
  <c r="G144"/>
  <c r="M143"/>
  <c r="J143"/>
  <c r="G143"/>
  <c r="M142"/>
  <c r="J142"/>
  <c r="G142"/>
  <c r="M141"/>
  <c r="J141"/>
  <c r="G141"/>
  <c r="M140"/>
  <c r="J140"/>
  <c r="G140"/>
  <c r="M139"/>
  <c r="J139"/>
  <c r="G139"/>
  <c r="M137"/>
  <c r="J137"/>
  <c r="G137"/>
  <c r="M136"/>
  <c r="J136"/>
  <c r="G136"/>
  <c r="M134"/>
  <c r="J134"/>
  <c r="G134"/>
  <c r="M132"/>
  <c r="J132"/>
  <c r="G132"/>
  <c r="M131"/>
  <c r="J131"/>
  <c r="G131"/>
  <c r="M130"/>
  <c r="J130"/>
  <c r="G130"/>
  <c r="M129"/>
  <c r="J129"/>
  <c r="G129"/>
  <c r="M128"/>
  <c r="J128"/>
  <c r="G128"/>
  <c r="M127"/>
  <c r="J127"/>
  <c r="G127"/>
  <c r="G123"/>
  <c r="G115"/>
  <c r="M15"/>
  <c r="J15"/>
  <c r="G15"/>
  <c r="M14"/>
  <c r="J14"/>
  <c r="G14"/>
  <c r="M13"/>
  <c r="J13"/>
  <c r="G13"/>
  <c r="M12"/>
  <c r="J12"/>
  <c r="G12"/>
  <c r="M11"/>
  <c r="J11"/>
  <c r="G11"/>
  <c r="C21" i="34" l="1"/>
  <c r="C120" s="1"/>
  <c r="K11"/>
  <c r="E11"/>
  <c r="E11" i="65" s="1"/>
  <c r="E21" l="1"/>
  <c r="E120" s="1"/>
  <c r="L11"/>
  <c r="K21" i="34"/>
  <c r="K120" s="1"/>
  <c r="L11"/>
  <c r="X11" s="1"/>
  <c r="E21"/>
  <c r="E120" s="1"/>
  <c r="L21" i="65" l="1"/>
  <c r="X11"/>
  <c r="L21" i="34"/>
  <c r="D29" i="39"/>
  <c r="N30" s="1"/>
  <c r="L120" i="65" l="1"/>
  <c r="X120" s="1"/>
  <c r="X21"/>
  <c r="L120" i="34"/>
  <c r="X21"/>
  <c r="D13" i="39"/>
  <c r="D19"/>
  <c r="X120" i="34" l="1"/>
  <c r="B24" i="39"/>
  <c r="B38" l="1"/>
  <c r="F24"/>
  <c r="C21"/>
  <c r="G24" s="1"/>
  <c r="D21"/>
  <c r="H24" s="1"/>
  <c r="D38" l="1"/>
  <c r="D39"/>
  <c r="C38"/>
  <c r="G10" i="25" l="1"/>
  <c r="C42" i="39" l="1"/>
  <c r="C44" l="1"/>
  <c r="C45"/>
  <c r="C46"/>
  <c r="C40"/>
  <c r="G29" i="25"/>
  <c r="E20" i="19"/>
  <c r="E42" s="1"/>
  <c r="B20"/>
  <c r="B42" s="1"/>
  <c r="B17" i="39"/>
  <c r="G8" i="2"/>
  <c r="G17"/>
  <c r="G11" i="25" l="1"/>
  <c r="G12" s="1"/>
  <c r="D10" i="39"/>
  <c r="B10"/>
  <c r="B9" s="1"/>
  <c r="B43" s="1"/>
  <c r="C41"/>
  <c r="G137" i="48" l="1"/>
  <c r="H24" i="2"/>
  <c r="K50"/>
  <c r="H44"/>
  <c r="H47" s="1"/>
  <c r="H50" s="1"/>
  <c r="J24"/>
  <c r="K51"/>
  <c r="J71"/>
  <c r="J73" s="1"/>
  <c r="C54" i="39"/>
  <c r="K52" i="2"/>
  <c r="B45" i="39"/>
  <c r="D54"/>
  <c r="G61" i="2"/>
  <c r="D46" i="39"/>
  <c r="G178" i="48" l="1"/>
  <c r="K53" i="2"/>
  <c r="K61"/>
  <c r="K65" s="1"/>
  <c r="K71"/>
  <c r="K73" s="1"/>
  <c r="B42" i="39"/>
  <c r="B46"/>
  <c r="B44"/>
  <c r="I61" i="2"/>
  <c r="G63"/>
  <c r="B41" i="39"/>
  <c r="B15"/>
  <c r="G67" i="2"/>
  <c r="G69" s="1"/>
  <c r="G70" s="1"/>
  <c r="G71"/>
  <c r="G73" s="1"/>
  <c r="G74" s="1"/>
  <c r="D17" i="39"/>
  <c r="D9" l="1"/>
  <c r="D43" s="1"/>
  <c r="D15"/>
  <c r="B40"/>
  <c r="D45" l="1"/>
  <c r="D41"/>
  <c r="D42"/>
  <c r="D44"/>
  <c r="D40"/>
  <c r="M120" i="49" l="1"/>
  <c r="L29" i="39" l="1"/>
  <c r="AF123" i="49"/>
  <c r="F120" l="1"/>
  <c r="E120"/>
  <c r="H120"/>
  <c r="V120"/>
  <c r="W120"/>
  <c r="X120"/>
  <c r="L120"/>
  <c r="K120"/>
  <c r="U120"/>
  <c r="C30" i="39" s="1"/>
  <c r="Y120" i="49"/>
  <c r="J120"/>
  <c r="C31" i="39" s="1"/>
  <c r="D120" i="49"/>
  <c r="J133" l="1"/>
  <c r="AI120"/>
  <c r="AC120"/>
  <c r="C32" i="39"/>
  <c r="H32" s="1"/>
  <c r="J132" i="49"/>
  <c r="J134" s="1"/>
  <c r="G120"/>
  <c r="H30" i="39"/>
  <c r="J30" s="1"/>
  <c r="H31"/>
  <c r="C29" l="1"/>
  <c r="C10" s="1"/>
  <c r="C9" s="1"/>
  <c r="AC121" i="49" l="1"/>
  <c r="AC123" s="1"/>
  <c r="AC124" s="1"/>
  <c r="J135" i="64"/>
  <c r="J136" s="1"/>
  <c r="AC121"/>
  <c r="AC123" s="1"/>
  <c r="AC124" s="1"/>
  <c r="C15" i="39"/>
  <c r="L30"/>
  <c r="C19"/>
  <c r="C17"/>
  <c r="C43" s="1"/>
  <c r="J135" i="49"/>
  <c r="J136" s="1"/>
  <c r="C39" i="39"/>
  <c r="H29"/>
  <c r="C13"/>
</calcChain>
</file>

<file path=xl/sharedStrings.xml><?xml version="1.0" encoding="utf-8"?>
<sst xmlns="http://schemas.openxmlformats.org/spreadsheetml/2006/main" count="3784" uniqueCount="1733">
  <si>
    <t>Object Code</t>
  </si>
  <si>
    <t>A01101</t>
  </si>
  <si>
    <t>Basic Pay</t>
  </si>
  <si>
    <t>A01102</t>
  </si>
  <si>
    <t>Personal Pay</t>
  </si>
  <si>
    <t>A01103</t>
  </si>
  <si>
    <t>Special Pay</t>
  </si>
  <si>
    <t>A01104</t>
  </si>
  <si>
    <t>Technical Pay</t>
  </si>
  <si>
    <t>A01105</t>
  </si>
  <si>
    <t>Qualification Pay</t>
  </si>
  <si>
    <t>A01106</t>
  </si>
  <si>
    <t>Pay of Contract Staff</t>
  </si>
  <si>
    <t>A0110602</t>
  </si>
  <si>
    <t>Tenure Track Pay</t>
  </si>
  <si>
    <t>A01150</t>
  </si>
  <si>
    <t>Others</t>
  </si>
  <si>
    <t>A01151</t>
  </si>
  <si>
    <t>A01152</t>
  </si>
  <si>
    <t>A01153</t>
  </si>
  <si>
    <t>A01155</t>
  </si>
  <si>
    <t>A01156</t>
  </si>
  <si>
    <t>A01170</t>
  </si>
  <si>
    <t>Total Pay (Pay of Officers + Pay of Staff)</t>
  </si>
  <si>
    <t>A01201</t>
  </si>
  <si>
    <t>Senior Post Allowance</t>
  </si>
  <si>
    <t>A01202</t>
  </si>
  <si>
    <t>House Rent Allowance</t>
  </si>
  <si>
    <t>A01203</t>
  </si>
  <si>
    <t>Conveyance Allowance</t>
  </si>
  <si>
    <t>A0120402</t>
  </si>
  <si>
    <t>Utility Allowance</t>
  </si>
  <si>
    <t>A01207</t>
  </si>
  <si>
    <t>Washing Allowance</t>
  </si>
  <si>
    <t>A01208</t>
  </si>
  <si>
    <t>Dress Allowance</t>
  </si>
  <si>
    <t>A0129903</t>
  </si>
  <si>
    <t>Others - Integrated Allowance</t>
  </si>
  <si>
    <t>A0129904</t>
  </si>
  <si>
    <t>Others - Gun Allowance</t>
  </si>
  <si>
    <t>A01211</t>
  </si>
  <si>
    <t>Hill Allowance</t>
  </si>
  <si>
    <t>A01216</t>
  </si>
  <si>
    <t>Qualification/PhD/Special S&amp;T 
Allowance</t>
  </si>
  <si>
    <t>A01217</t>
  </si>
  <si>
    <t>Medical Allowance</t>
  </si>
  <si>
    <t>A01222</t>
  </si>
  <si>
    <t>Hardship Allowance</t>
  </si>
  <si>
    <t>A01224</t>
  </si>
  <si>
    <t>Entertainment Allowance</t>
  </si>
  <si>
    <t>A01226</t>
  </si>
  <si>
    <t>Computer Allowance</t>
  </si>
  <si>
    <t>A01227</t>
  </si>
  <si>
    <t>Project Allowance</t>
  </si>
  <si>
    <t>A01228</t>
  </si>
  <si>
    <t>Orderly Allowance</t>
  </si>
  <si>
    <t>A01230</t>
  </si>
  <si>
    <t>Dusting Allowance</t>
  </si>
  <si>
    <t>A01231</t>
  </si>
  <si>
    <t>Drinking Water Allowance</t>
  </si>
  <si>
    <t>A01236</t>
  </si>
  <si>
    <t>Deputation Allowance</t>
  </si>
  <si>
    <t>A01237</t>
  </si>
  <si>
    <t>Design Allowance</t>
  </si>
  <si>
    <t>A01238</t>
  </si>
  <si>
    <t>A01252</t>
  </si>
  <si>
    <t>Non Practising Allowance</t>
  </si>
  <si>
    <t>A01254</t>
  </si>
  <si>
    <t>Anaesthesia Allowance</t>
  </si>
  <si>
    <t>A01263</t>
  </si>
  <si>
    <t>Research Allowance</t>
  </si>
  <si>
    <t>A01267</t>
  </si>
  <si>
    <t>Provost / Warden / Boarding Allowance</t>
  </si>
  <si>
    <t>A01270</t>
  </si>
  <si>
    <t>Other Regular Allowances  - A01211 - 70</t>
  </si>
  <si>
    <t>Total Regular Allowances (Regular+ Others)</t>
  </si>
  <si>
    <t> A01271 </t>
  </si>
  <si>
    <t>Overtime Allowance to Drivers</t>
  </si>
  <si>
    <t> A01272 </t>
  </si>
  <si>
    <t>Night Duty Allowance</t>
  </si>
  <si>
    <t> A01273 </t>
  </si>
  <si>
    <t>Honorarium</t>
  </si>
  <si>
    <t> A01274 </t>
  </si>
  <si>
    <t>Medical Charges  - Hospitalization etc.</t>
  </si>
  <si>
    <t> A01277 </t>
  </si>
  <si>
    <t>Contingent Paid Staff / Daily Wages</t>
  </si>
  <si>
    <t> A0127801</t>
  </si>
  <si>
    <t> A0127802</t>
  </si>
  <si>
    <t>Group Insurance</t>
  </si>
  <si>
    <t> A01289</t>
  </si>
  <si>
    <t>Teaching Allowance</t>
  </si>
  <si>
    <t>Other Allowances (A01271 - 99)</t>
  </si>
  <si>
    <t>Total Establishment Charges</t>
  </si>
  <si>
    <t>SUMMARISED BUDGET PROFILE</t>
  </si>
  <si>
    <t>Particulars</t>
  </si>
  <si>
    <t>a.</t>
  </si>
  <si>
    <t>a. </t>
  </si>
  <si>
    <t>Federal Government (Annual)</t>
  </si>
  <si>
    <t>b.</t>
  </si>
  <si>
    <t>c.</t>
  </si>
  <si>
    <t>Grant for Tenure Track Faculty</t>
  </si>
  <si>
    <t>d.</t>
  </si>
  <si>
    <t>Provincial Govt. Grant</t>
  </si>
  <si>
    <t>e.</t>
  </si>
  <si>
    <t>f. </t>
  </si>
  <si>
    <t>Tutition Fees</t>
  </si>
  <si>
    <t>b. </t>
  </si>
  <si>
    <t>Affiliated College/Instituions' Students</t>
  </si>
  <si>
    <t>c. </t>
  </si>
  <si>
    <t>External (Private) Students</t>
  </si>
  <si>
    <t>Income  from Continuing Professional Development  Courses for Business &amp; Community</t>
  </si>
  <si>
    <t>Income from Continuing Education [CE] Courses for  Business &amp; Community</t>
  </si>
  <si>
    <t>Income from Collaborative and Contract Research</t>
  </si>
  <si>
    <t>Income from Consultancy &amp; Testing</t>
  </si>
  <si>
    <t>Income from Intellectual Property</t>
  </si>
  <si>
    <t>Income from Regeneration &amp; Development  Programs</t>
  </si>
  <si>
    <t>Alumini</t>
  </si>
  <si>
    <t>Any Other Income</t>
  </si>
  <si>
    <t>A. Total Available Resources [1+2+3]</t>
  </si>
  <si>
    <t> Faculty Salary </t>
  </si>
  <si>
    <t>TTS Faculty Salary/ Gratuity</t>
  </si>
  <si>
    <t>Salary of Officers &amp; Staff -Teaching Departments</t>
  </si>
  <si>
    <t>Other Establishment Charges</t>
  </si>
  <si>
    <t>g.</t>
  </si>
  <si>
    <t>Research</t>
  </si>
  <si>
    <t>B. Total Expenditures [ 5 + 6 ]</t>
  </si>
  <si>
    <t>C. Surplus / Deficit    [A  -   B]</t>
  </si>
  <si>
    <t>D.</t>
  </si>
  <si>
    <t>Approved Budget</t>
  </si>
  <si>
    <t>E.</t>
  </si>
  <si>
    <t>F.</t>
  </si>
  <si>
    <t>Sanctioned 
Posts</t>
  </si>
  <si>
    <t>Filled Posts</t>
  </si>
  <si>
    <t>Vacant Posts</t>
  </si>
  <si>
    <t>PhD</t>
  </si>
  <si>
    <t>Non-PhD</t>
  </si>
  <si>
    <t>Total</t>
  </si>
  <si>
    <t>Number of Posts</t>
  </si>
  <si>
    <t>Male</t>
  </si>
  <si>
    <t>Female</t>
  </si>
  <si>
    <t>Arts / Humanities</t>
  </si>
  <si>
    <t>Professor</t>
  </si>
  <si>
    <t>Associate Professor</t>
  </si>
  <si>
    <t>Assistant Professor</t>
  </si>
  <si>
    <t>Lecturer</t>
  </si>
  <si>
    <t>Social Sciences</t>
  </si>
  <si>
    <t>Agriculture</t>
  </si>
  <si>
    <t>Medical</t>
  </si>
  <si>
    <t>Veterinary Sciences</t>
  </si>
  <si>
    <t>Engineering</t>
  </si>
  <si>
    <t>Grand Total</t>
  </si>
  <si>
    <t>Name of University / Institute:</t>
  </si>
  <si>
    <t>Computer Sciences / IT</t>
  </si>
  <si>
    <t>Number</t>
  </si>
  <si>
    <t>Bachelor</t>
  </si>
  <si>
    <t>Bechelor</t>
  </si>
  <si>
    <t>Master</t>
  </si>
  <si>
    <t>BPS</t>
  </si>
  <si>
    <t>TTS</t>
  </si>
  <si>
    <t xml:space="preserve"> </t>
  </si>
  <si>
    <t>Code
No.</t>
  </si>
  <si>
    <t xml:space="preserve">Budget Heads </t>
  </si>
  <si>
    <t>A09201</t>
  </si>
  <si>
    <t>Hardware</t>
  </si>
  <si>
    <t>A09202</t>
  </si>
  <si>
    <t>Software</t>
  </si>
  <si>
    <t>A09203</t>
  </si>
  <si>
    <t>A09501</t>
  </si>
  <si>
    <t>A09601</t>
  </si>
  <si>
    <t>A09701</t>
  </si>
  <si>
    <t>A09801</t>
  </si>
  <si>
    <t>A09470</t>
  </si>
  <si>
    <t>A124</t>
  </si>
  <si>
    <t>A12405</t>
  </si>
  <si>
    <t>A12470</t>
  </si>
  <si>
    <t>A13001</t>
  </si>
  <si>
    <t>Transport</t>
  </si>
  <si>
    <t>A13101</t>
  </si>
  <si>
    <t>A13201</t>
  </si>
  <si>
    <t>A13301</t>
  </si>
  <si>
    <t>A13302</t>
  </si>
  <si>
    <t>A13304</t>
  </si>
  <si>
    <t>Structures</t>
  </si>
  <si>
    <t>A13701</t>
  </si>
  <si>
    <t>A13702</t>
  </si>
  <si>
    <t>A13703</t>
  </si>
  <si>
    <t>A13801</t>
  </si>
  <si>
    <t>A13901</t>
  </si>
  <si>
    <t>A13920</t>
  </si>
  <si>
    <t>A021</t>
  </si>
  <si>
    <t>A02101</t>
  </si>
  <si>
    <t>A02102</t>
  </si>
  <si>
    <t>A022</t>
  </si>
  <si>
    <t>A02201</t>
  </si>
  <si>
    <t>A02203</t>
  </si>
  <si>
    <t>A03101</t>
  </si>
  <si>
    <t>A03102</t>
  </si>
  <si>
    <t>A032</t>
  </si>
  <si>
    <t>A03201</t>
  </si>
  <si>
    <t>A03202</t>
  </si>
  <si>
    <t>A03205</t>
  </si>
  <si>
    <t>A033</t>
  </si>
  <si>
    <t>A03301</t>
  </si>
  <si>
    <t>Gas</t>
  </si>
  <si>
    <t>A03302</t>
  </si>
  <si>
    <t>Water</t>
  </si>
  <si>
    <t>A03303</t>
  </si>
  <si>
    <t>Electricity</t>
  </si>
  <si>
    <t>A03304</t>
  </si>
  <si>
    <t>A034</t>
  </si>
  <si>
    <t>A03402</t>
  </si>
  <si>
    <t>A03403</t>
  </si>
  <si>
    <t>A03404</t>
  </si>
  <si>
    <t>A03410</t>
  </si>
  <si>
    <t>A036</t>
  </si>
  <si>
    <t>A03602</t>
  </si>
  <si>
    <t>Insurance</t>
  </si>
  <si>
    <t>A03603</t>
  </si>
  <si>
    <t>Registration</t>
  </si>
  <si>
    <t>A037</t>
  </si>
  <si>
    <t>A03770</t>
  </si>
  <si>
    <t>A038</t>
  </si>
  <si>
    <t>A03801</t>
  </si>
  <si>
    <t>A03802</t>
  </si>
  <si>
    <t>A03805</t>
  </si>
  <si>
    <t>A03806</t>
  </si>
  <si>
    <t>A03807</t>
  </si>
  <si>
    <t>A03808</t>
  </si>
  <si>
    <t>A03809</t>
  </si>
  <si>
    <t>A03810</t>
  </si>
  <si>
    <t>A03820</t>
  </si>
  <si>
    <t>A039</t>
  </si>
  <si>
    <t>A03901</t>
  </si>
  <si>
    <t>Stationery</t>
  </si>
  <si>
    <t>A03902</t>
  </si>
  <si>
    <t>A03903</t>
  </si>
  <si>
    <t>A0397006</t>
  </si>
  <si>
    <t>A03904</t>
  </si>
  <si>
    <t>A03905</t>
  </si>
  <si>
    <t>A03906</t>
  </si>
  <si>
    <t>A03907</t>
  </si>
  <si>
    <t>A03912</t>
  </si>
  <si>
    <t>A03913</t>
  </si>
  <si>
    <t>A03915</t>
  </si>
  <si>
    <t>A03916</t>
  </si>
  <si>
    <t>A03917</t>
  </si>
  <si>
    <t>A03918</t>
  </si>
  <si>
    <t>A03919</t>
  </si>
  <si>
    <t>A03927</t>
  </si>
  <si>
    <t>A03933</t>
  </si>
  <si>
    <t>A03935</t>
  </si>
  <si>
    <t>A03936</t>
  </si>
  <si>
    <t>A03940</t>
  </si>
  <si>
    <t>A03942</t>
  </si>
  <si>
    <t>A03959</t>
  </si>
  <si>
    <t>A03970</t>
  </si>
  <si>
    <t>A0397002</t>
  </si>
  <si>
    <t>A0397003</t>
  </si>
  <si>
    <t>A0397004</t>
  </si>
  <si>
    <t>A0397005</t>
  </si>
  <si>
    <t>A04101</t>
  </si>
  <si>
    <t>Pension</t>
  </si>
  <si>
    <t>A04102</t>
  </si>
  <si>
    <t>A04103</t>
  </si>
  <si>
    <t>Gratuity</t>
  </si>
  <si>
    <t>A04104</t>
  </si>
  <si>
    <t>A04105</t>
  </si>
  <si>
    <t>A04106</t>
  </si>
  <si>
    <t>A04110</t>
  </si>
  <si>
    <t>A04114</t>
  </si>
  <si>
    <t>A04170</t>
  </si>
  <si>
    <t>A06101</t>
  </si>
  <si>
    <t>A0610102</t>
  </si>
  <si>
    <t>A0610103</t>
  </si>
  <si>
    <t>A0610104</t>
  </si>
  <si>
    <t>A06102</t>
  </si>
  <si>
    <t>A06103</t>
  </si>
  <si>
    <t>A06104</t>
  </si>
  <si>
    <t>Bonuses</t>
  </si>
  <si>
    <t>A06202</t>
  </si>
  <si>
    <t>A06301</t>
  </si>
  <si>
    <t>A081</t>
  </si>
  <si>
    <t>A08101</t>
  </si>
  <si>
    <t>A08102</t>
  </si>
  <si>
    <t>A08103</t>
  </si>
  <si>
    <t>A08104</t>
  </si>
  <si>
    <t>HEC-109</t>
  </si>
  <si>
    <t>C02813</t>
  </si>
  <si>
    <t>C0281301</t>
  </si>
  <si>
    <t>C0281306</t>
  </si>
  <si>
    <t>C0281201</t>
  </si>
  <si>
    <t>C02815</t>
  </si>
  <si>
    <t>C0281501</t>
  </si>
  <si>
    <t>C0281809</t>
  </si>
  <si>
    <t>Total:</t>
  </si>
  <si>
    <t>HEC-110</t>
  </si>
  <si>
    <t>Rs. in Million</t>
  </si>
  <si>
    <t>Consolidated Position of Funds in all Bank Accounts</t>
  </si>
  <si>
    <t>Employees Related Funds</t>
  </si>
  <si>
    <t xml:space="preserve">       (ii)  Provident Fund</t>
  </si>
  <si>
    <t xml:space="preserve">       (iii)  Benevolent Fund</t>
  </si>
  <si>
    <t xml:space="preserve">       (iv)  Welfare Fund</t>
  </si>
  <si>
    <t xml:space="preserve">       (v)  Any Other Fund (please specify)</t>
  </si>
  <si>
    <t>Development Funds</t>
  </si>
  <si>
    <t xml:space="preserve">Recurring Funds </t>
  </si>
  <si>
    <t>Endowment Funds</t>
  </si>
  <si>
    <t>Research Funds</t>
  </si>
  <si>
    <t>Donation Fund</t>
  </si>
  <si>
    <t>Other Funds ( please specify)</t>
  </si>
  <si>
    <r>
      <t xml:space="preserve">Note: </t>
    </r>
    <r>
      <rPr>
        <sz val="11"/>
        <color indexed="10"/>
        <rFont val="Arial"/>
        <family val="2"/>
      </rPr>
      <t>Attach details of all bank accounts mentioning title of account, bank &amp; branch, account number etc.</t>
    </r>
  </si>
  <si>
    <t>S.</t>
  </si>
  <si>
    <t xml:space="preserve">Name, Designation </t>
  </si>
  <si>
    <t>Pay</t>
  </si>
  <si>
    <t>Sen.</t>
  </si>
  <si>
    <t>Enter.</t>
  </si>
  <si>
    <t>Orderly</t>
  </si>
  <si>
    <t>H. Rent</t>
  </si>
  <si>
    <t>Convey.</t>
  </si>
  <si>
    <t>Qualifica-</t>
  </si>
  <si>
    <t>Dean/</t>
  </si>
  <si>
    <t>Compu-</t>
  </si>
  <si>
    <t>Washing</t>
  </si>
  <si>
    <t xml:space="preserve">Dress </t>
  </si>
  <si>
    <t>Dusting</t>
  </si>
  <si>
    <t>Hard-
ship</t>
  </si>
  <si>
    <t>Any</t>
  </si>
  <si>
    <t>No.</t>
  </si>
  <si>
    <t>&amp; Scale</t>
  </si>
  <si>
    <t>Post</t>
  </si>
  <si>
    <t>Allow</t>
  </si>
  <si>
    <t>Allow.</t>
  </si>
  <si>
    <t>tion/ Ph.D.</t>
  </si>
  <si>
    <t>Chairman</t>
  </si>
  <si>
    <t>ter Allow.</t>
  </si>
  <si>
    <t>Relief</t>
  </si>
  <si>
    <t>other</t>
  </si>
  <si>
    <t xml:space="preserve">Officers / Staff (All Administrative/Services Departments) </t>
  </si>
  <si>
    <t>Total (Faculty + Staff)</t>
  </si>
  <si>
    <t>Grand Total:</t>
  </si>
  <si>
    <r>
      <t>Note:</t>
    </r>
    <r>
      <rPr>
        <sz val="10"/>
        <color indexed="10"/>
        <rFont val="Arial"/>
        <family val="2"/>
      </rPr>
      <t xml:space="preserve"> Impact of each allowance being paid by the University / Institute / Centre to the emloyees may be calculated in this proforma, by adding / deleting name(s) of different allowances and tallied with what has been mentioned in proforma HEC-107. </t>
    </r>
  </si>
  <si>
    <t>Enrolment in Affiliated Colleges and External/Private Students</t>
  </si>
  <si>
    <t>Level of Degree</t>
  </si>
  <si>
    <t>Discipline</t>
  </si>
  <si>
    <t>Duration of Degree</t>
  </si>
  <si>
    <t>B.A (Pass)</t>
  </si>
  <si>
    <t>2 Year</t>
  </si>
  <si>
    <t>B.Sc. (Pass)</t>
  </si>
  <si>
    <t>Art/ Humanities</t>
  </si>
  <si>
    <t>Social Sciencs</t>
  </si>
  <si>
    <t>Sciences</t>
  </si>
  <si>
    <t xml:space="preserve">Bachelor </t>
  </si>
  <si>
    <t>MS/ M. Phil</t>
  </si>
  <si>
    <t>Post Graduate Diplomas</t>
  </si>
  <si>
    <t>Business/ Commerce / CS&amp;IT</t>
  </si>
  <si>
    <t>Law</t>
  </si>
  <si>
    <t>Education</t>
  </si>
  <si>
    <t>B. Number of Private/ External Candidates</t>
  </si>
  <si>
    <t>Level</t>
  </si>
  <si>
    <t>New Registration</t>
  </si>
  <si>
    <t>Passed</t>
  </si>
  <si>
    <t xml:space="preserve">B.A  </t>
  </si>
  <si>
    <t>Part-I</t>
  </si>
  <si>
    <t>Part-II</t>
  </si>
  <si>
    <t>B.Sc</t>
  </si>
  <si>
    <t>Previous</t>
  </si>
  <si>
    <t>Final</t>
  </si>
  <si>
    <t>Anthropology</t>
  </si>
  <si>
    <t>Agronomy</t>
  </si>
  <si>
    <t>Archaeology</t>
  </si>
  <si>
    <t>Entomology</t>
  </si>
  <si>
    <t>Area Studies</t>
  </si>
  <si>
    <t>Forestry</t>
  </si>
  <si>
    <t>Criminology</t>
  </si>
  <si>
    <t>Nutrition</t>
  </si>
  <si>
    <t>Development Economics</t>
  </si>
  <si>
    <t>Development Studies</t>
  </si>
  <si>
    <t>Economics</t>
  </si>
  <si>
    <t>Weed Science</t>
  </si>
  <si>
    <t>Aerospace Engineering</t>
  </si>
  <si>
    <t>Gender Studies</t>
  </si>
  <si>
    <t>History</t>
  </si>
  <si>
    <t>Avionics Engineering</t>
  </si>
  <si>
    <t>Home Economics</t>
  </si>
  <si>
    <t>International Relations</t>
  </si>
  <si>
    <t>Civil Engineering</t>
  </si>
  <si>
    <t>Coal Technology</t>
  </si>
  <si>
    <t>Electrical Engineering</t>
  </si>
  <si>
    <t>Pakistan Studies</t>
  </si>
  <si>
    <t>Philosophy</t>
  </si>
  <si>
    <t>Physical Education</t>
  </si>
  <si>
    <t>Political Science</t>
  </si>
  <si>
    <t>Psychology</t>
  </si>
  <si>
    <t>Rural Sociology</t>
  </si>
  <si>
    <t>Industrial Engineering</t>
  </si>
  <si>
    <t>Seerat Studies</t>
  </si>
  <si>
    <t>Mechanical Engineering</t>
  </si>
  <si>
    <t>Sociology</t>
  </si>
  <si>
    <t>Women Studies</t>
  </si>
  <si>
    <t>Nuclear Engineering</t>
  </si>
  <si>
    <t>Structural Engineering</t>
  </si>
  <si>
    <t>Textile Engineering</t>
  </si>
  <si>
    <t>Textile Science</t>
  </si>
  <si>
    <t>Transportation Engineering</t>
  </si>
  <si>
    <t>Arabic</t>
  </si>
  <si>
    <t>Balochi</t>
  </si>
  <si>
    <t>Bengali</t>
  </si>
  <si>
    <t>Chemistry</t>
  </si>
  <si>
    <t>Chinese</t>
  </si>
  <si>
    <t>English</t>
  </si>
  <si>
    <t>Geography</t>
  </si>
  <si>
    <t>Geology</t>
  </si>
  <si>
    <t>French</t>
  </si>
  <si>
    <t>Mathematics</t>
  </si>
  <si>
    <t>Mineralogy</t>
  </si>
  <si>
    <t>Journalism</t>
  </si>
  <si>
    <t>Mass Communication</t>
  </si>
  <si>
    <t>Physical Chemistry</t>
  </si>
  <si>
    <t>Physics</t>
  </si>
  <si>
    <t>Solid State Physics</t>
  </si>
  <si>
    <t>Pashto</t>
  </si>
  <si>
    <t>Space Science</t>
  </si>
  <si>
    <t>Persian</t>
  </si>
  <si>
    <t>Product Design</t>
  </si>
  <si>
    <t>Statistics</t>
  </si>
  <si>
    <t>Punjabi</t>
  </si>
  <si>
    <t>Saraiki</t>
  </si>
  <si>
    <t>Sindhi</t>
  </si>
  <si>
    <t>Biochemistry</t>
  </si>
  <si>
    <t>Bioinformatics</t>
  </si>
  <si>
    <t>Biology</t>
  </si>
  <si>
    <t>Visual Arts</t>
  </si>
  <si>
    <t>Biotechnology</t>
  </si>
  <si>
    <t>Microbiology</t>
  </si>
  <si>
    <t>Molecular Biology</t>
  </si>
  <si>
    <t>Pharmacy</t>
  </si>
  <si>
    <t>Information Technology</t>
  </si>
  <si>
    <t>Physiology</t>
  </si>
  <si>
    <t>Software Engineering</t>
  </si>
  <si>
    <t>Zoology</t>
  </si>
  <si>
    <t>Anatomy</t>
  </si>
  <si>
    <t>Dentistry</t>
  </si>
  <si>
    <t>Commerce</t>
  </si>
  <si>
    <t>Nursing</t>
  </si>
  <si>
    <t>Public Administration</t>
  </si>
  <si>
    <t>Admission Fees</t>
  </si>
  <si>
    <t>Tuition Fees - Regular Fee Structure</t>
  </si>
  <si>
    <t>C0281311</t>
  </si>
  <si>
    <t>Tuition Fees - Self-Support Scheme</t>
  </si>
  <si>
    <t>C0281316</t>
  </si>
  <si>
    <t>Tuition Fees - Self-Financing Scheme</t>
  </si>
  <si>
    <t>C0281322</t>
  </si>
  <si>
    <t>Registration Fees - University  Students Only</t>
  </si>
  <si>
    <t>C0281323</t>
  </si>
  <si>
    <t>C0281326</t>
  </si>
  <si>
    <t>Registration Fees - Private / External Students</t>
  </si>
  <si>
    <t>C0281332</t>
  </si>
  <si>
    <t>C0281333</t>
  </si>
  <si>
    <t>Examination Fees -  Affiliated Colleges Students</t>
  </si>
  <si>
    <t>C0281336</t>
  </si>
  <si>
    <t>Examination Fees - Private / External Students</t>
  </si>
  <si>
    <t>C0281341</t>
  </si>
  <si>
    <t>Library Fees</t>
  </si>
  <si>
    <t>C0281346</t>
  </si>
  <si>
    <t>Degree / Transcript Fee etc.</t>
  </si>
  <si>
    <t>C0281361</t>
  </si>
  <si>
    <t>Income from Continuing Professional Development Courses for Business &amp; Community</t>
  </si>
  <si>
    <t>C0281375</t>
  </si>
  <si>
    <t>C0281390</t>
  </si>
  <si>
    <t>Other Misc. Fees from Students</t>
  </si>
  <si>
    <t>Education General Fees [ 301 - 390 ]</t>
  </si>
  <si>
    <t>Hostel Admission Fees</t>
  </si>
  <si>
    <t>C0281206</t>
  </si>
  <si>
    <t>Hostel Room Rent</t>
  </si>
  <si>
    <t>C0281211</t>
  </si>
  <si>
    <t>Hostel Utilitiy Charges</t>
  </si>
  <si>
    <t>C0281216</t>
  </si>
  <si>
    <t>Hostel Service Charges</t>
  </si>
  <si>
    <t>C0281221</t>
  </si>
  <si>
    <t>Income from Transport / Buses</t>
  </si>
  <si>
    <t>C0281226</t>
  </si>
  <si>
    <t>Other Misc. Charges</t>
  </si>
  <si>
    <t>C02812 </t>
  </si>
  <si>
    <t>Hostel Fees / User Charges [ 201 - 226 ]</t>
  </si>
  <si>
    <t>C02810 </t>
  </si>
  <si>
    <t>Income from Endowments</t>
  </si>
  <si>
    <t>Income from Collaborative Research - Domestic</t>
  </si>
  <si>
    <t>C0281506</t>
  </si>
  <si>
    <t>Income from Collaborative Research - International</t>
  </si>
  <si>
    <t>C0281511</t>
  </si>
  <si>
    <t>Income from Collaborative Research - Others</t>
  </si>
  <si>
    <t>C0281521</t>
  </si>
  <si>
    <t>C0281526</t>
  </si>
  <si>
    <t>C0281531</t>
  </si>
  <si>
    <t>Income from Contract Research - SMEs</t>
  </si>
  <si>
    <t>C02815 </t>
  </si>
  <si>
    <t>C0281536</t>
  </si>
  <si>
    <t>Income from Consultancy</t>
  </si>
  <si>
    <t>C0281541</t>
  </si>
  <si>
    <t>Income from Consultancy - Contracts with SMEs</t>
  </si>
  <si>
    <t>C0281546</t>
  </si>
  <si>
    <t>Income from Consultancy - Contracts with Commercial Businesses</t>
  </si>
  <si>
    <t>C0281551</t>
  </si>
  <si>
    <t>Income from Consultancy - Contracts with Non Commercial Organizations</t>
  </si>
  <si>
    <t>C0281561</t>
  </si>
  <si>
    <t>Income from Testing Services etc.</t>
  </si>
  <si>
    <t>C0281566</t>
  </si>
  <si>
    <t>Income From Regeneration &amp; Development Programs - Federal</t>
  </si>
  <si>
    <t>C0281568</t>
  </si>
  <si>
    <t>Income From Regeneration &amp; Development Programs - Provincial</t>
  </si>
  <si>
    <t>C0281570</t>
  </si>
  <si>
    <t>Income From Regeneration &amp; Development Programs - District Govts.</t>
  </si>
  <si>
    <t>C0281572</t>
  </si>
  <si>
    <t>Income From Regeneration &amp; Development Programs - Others</t>
  </si>
  <si>
    <t>Income from Regeneration &amp; Development 
Programs [ 566 - 572 ]</t>
  </si>
  <si>
    <t>C0281575</t>
  </si>
  <si>
    <t>Receipts from Patents &amp; Disclosures</t>
  </si>
  <si>
    <t>C0281580</t>
  </si>
  <si>
    <t>Intellectual Property Income - Commercial Businesses</t>
  </si>
  <si>
    <t>C0281585</t>
  </si>
  <si>
    <t>Intellectual Property Income - Non Commercial Organizations</t>
  </si>
  <si>
    <t>C0281590</t>
  </si>
  <si>
    <t>Intellectual Property Income - SMEs</t>
  </si>
  <si>
    <t>C0281595</t>
  </si>
  <si>
    <t>Income from Spin-offs activities</t>
  </si>
  <si>
    <t>C0281600</t>
  </si>
  <si>
    <t>Income from Start-ups</t>
  </si>
  <si>
    <t>C0281606</t>
  </si>
  <si>
    <t>Income from sale of shares in Spin-offs</t>
  </si>
  <si>
    <t>C0281610</t>
  </si>
  <si>
    <t>Receipts from Alumni</t>
  </si>
  <si>
    <t>C02815-6 </t>
  </si>
  <si>
    <t>Affiliation Fees Received from Other Institutions</t>
  </si>
  <si>
    <t>C0281820</t>
  </si>
  <si>
    <t>Sale of Publications</t>
  </si>
  <si>
    <t>C0281830</t>
  </si>
  <si>
    <t>Sale of Prospectus / Forms</t>
  </si>
  <si>
    <t>C0281840</t>
  </si>
  <si>
    <t>Rent / Lease of University Buildings / Shops etc.</t>
  </si>
  <si>
    <t>C0281850</t>
  </si>
  <si>
    <t>Income from Farm Produces / Livestock etc.</t>
  </si>
  <si>
    <t>C0281860</t>
  </si>
  <si>
    <t>Interest on Investments / Cash Balances etc.</t>
  </si>
  <si>
    <t>C0281870</t>
  </si>
  <si>
    <t>Other Misc. Receipts</t>
  </si>
  <si>
    <t>C02818 </t>
  </si>
  <si>
    <t>Others [ 809 - 870 ]</t>
  </si>
  <si>
    <t>Detail of Establishment Charges</t>
  </si>
  <si>
    <t>Rs. in million</t>
  </si>
  <si>
    <t>Others - Civil Works</t>
  </si>
  <si>
    <t>Electrification Plumbing and Other  Infrasturcture</t>
  </si>
  <si>
    <t>A09 </t>
  </si>
  <si>
    <t>Purchase of Livestock</t>
  </si>
  <si>
    <t>Purchase of Furniture &amp; Fixture</t>
  </si>
  <si>
    <t>Purchase of Plant &amp; Machinery</t>
  </si>
  <si>
    <t>Purchase of Transport</t>
  </si>
  <si>
    <t>Purchase of I.T. Equipment</t>
  </si>
  <si>
    <t>Cycle Advance</t>
  </si>
  <si>
    <t>Motor Cycle / Scooter Advance</t>
  </si>
  <si>
    <t>Motor Car Advance</t>
  </si>
  <si>
    <t>House Building Advance</t>
  </si>
  <si>
    <t>A064</t>
  </si>
  <si>
    <t>A0647001</t>
  </si>
  <si>
    <t>Renewals &amp; Replacements</t>
  </si>
  <si>
    <t>A0640301</t>
  </si>
  <si>
    <t>University linkage Programe</t>
  </si>
  <si>
    <t>A0640205</t>
  </si>
  <si>
    <t>Cobtribution / Transfers to Benevolent  Fund</t>
  </si>
  <si>
    <t>A0640204</t>
  </si>
  <si>
    <t>Contribution / Transfers to Provident  Fund (University Share)</t>
  </si>
  <si>
    <t>A0640203</t>
  </si>
  <si>
    <t>Contribution / Transfers to Pension  Fund</t>
  </si>
  <si>
    <t>A0640202</t>
  </si>
  <si>
    <t>Contributions / Transfer to reserve  funds</t>
  </si>
  <si>
    <t>A0640201</t>
  </si>
  <si>
    <t>A063</t>
  </si>
  <si>
    <t>Gifts</t>
  </si>
  <si>
    <t>A06302</t>
  </si>
  <si>
    <t>Entertainments</t>
  </si>
  <si>
    <t>A062</t>
  </si>
  <si>
    <t>A06270</t>
  </si>
  <si>
    <t>Contribution to International Agencies</t>
  </si>
  <si>
    <t>A061</t>
  </si>
  <si>
    <t>Cash Awards  - for Meritorious Services</t>
  </si>
  <si>
    <t>Other Scholarships</t>
  </si>
  <si>
    <t>Gold Medals &amp; Scholarships</t>
  </si>
  <si>
    <t>Faculty Scholarships</t>
  </si>
  <si>
    <t>Need Based Scholarships</t>
  </si>
  <si>
    <t>Merit Scholarships</t>
  </si>
  <si>
    <t>Consultant Based Research &amp; Survey</t>
  </si>
  <si>
    <t>Research and Survey</t>
  </si>
  <si>
    <t>Feasibility Studies</t>
  </si>
  <si>
    <t>Consultant-based Feasibility Studies</t>
  </si>
  <si>
    <t>A13 </t>
  </si>
  <si>
    <t>Others - Repair</t>
  </si>
  <si>
    <t>Lines &amp; Wires - Repair</t>
  </si>
  <si>
    <t>Maintenance of Gardens</t>
  </si>
  <si>
    <t>I.T. Equipment</t>
  </si>
  <si>
    <t>Residential Buildings</t>
  </si>
  <si>
    <t>Office Buildings</t>
  </si>
  <si>
    <t>Furniture &amp; Fixture</t>
  </si>
  <si>
    <t>Machinery &amp; Equipment</t>
  </si>
  <si>
    <t>A04 </t>
  </si>
  <si>
    <t>Others  - Assistance Package for Families of Emps</t>
  </si>
  <si>
    <t>Superannuation Encashment of LPR</t>
  </si>
  <si>
    <t>Payment of Pension Contribution to  other orgs</t>
  </si>
  <si>
    <t>Reimbursement of Medical Charges to  Pensioners</t>
  </si>
  <si>
    <t>Gratuities  - e.g. gratuity where pension is not  mature</t>
  </si>
  <si>
    <t>Other Pension  - e.g. Family Pension</t>
  </si>
  <si>
    <t>Commuted Value of Pension</t>
  </si>
  <si>
    <t>Total Operating Expenses</t>
  </si>
  <si>
    <t>A03 </t>
  </si>
  <si>
    <t>Stipends Incentives etc.</t>
  </si>
  <si>
    <t>Specific Consumable</t>
  </si>
  <si>
    <t>A0394204</t>
  </si>
  <si>
    <t>A0394203</t>
  </si>
  <si>
    <t>Chemicals / Glassware</t>
  </si>
  <si>
    <t>A0394202</t>
  </si>
  <si>
    <t>Cost of other stores</t>
  </si>
  <si>
    <t>Unforeseen Expenditure / Contingencies</t>
  </si>
  <si>
    <t>Foreign / Inland Training Course Fee</t>
  </si>
  <si>
    <t>Depriciation Expense</t>
  </si>
  <si>
    <t>Service Charges</t>
  </si>
  <si>
    <t>Purchase of Drugs and Medicines</t>
  </si>
  <si>
    <t>Payments to Other services rendered  - Audit Fee etc.</t>
  </si>
  <si>
    <t>Exhibitions Fairs &amp; Other National  Celebrations</t>
  </si>
  <si>
    <t>Law Charges</t>
  </si>
  <si>
    <t>Essay Writing &amp; Copyrights</t>
  </si>
  <si>
    <t>Payment to Govt. Department for  Services Rendered</t>
  </si>
  <si>
    <t>Contribution &amp; Subscription</t>
  </si>
  <si>
    <t>Expenditure on Pakistani Delegations to Foreign Countries</t>
  </si>
  <si>
    <t>Advertising &amp; Publicity</t>
  </si>
  <si>
    <t>Uniforms and Protective Clothing</t>
  </si>
  <si>
    <t>Newspapers Periodicals and Books</t>
  </si>
  <si>
    <t>Hire of Vehicles</t>
  </si>
  <si>
    <t>Convocation Expenses</t>
  </si>
  <si>
    <t>Conferences / Seminars / Workshops /
 Symposia</t>
  </si>
  <si>
    <t>Printing and publications</t>
  </si>
  <si>
    <t>Study Tours</t>
  </si>
  <si>
    <t>CNG Charges</t>
  </si>
  <si>
    <t>Convevance Charges  - for late sitting</t>
  </si>
  <si>
    <t>P.O.L. Charges</t>
  </si>
  <si>
    <t>Transportation of Goods</t>
  </si>
  <si>
    <t>Travelling Allowance  - TA/DA</t>
  </si>
  <si>
    <t>Training - International</t>
  </si>
  <si>
    <t>Training - Domestic</t>
  </si>
  <si>
    <t>Government Departments</t>
  </si>
  <si>
    <t>A03703</t>
  </si>
  <si>
    <t>Management</t>
  </si>
  <si>
    <t>A03702</t>
  </si>
  <si>
    <t>Computers</t>
  </si>
  <si>
    <t>A03701</t>
  </si>
  <si>
    <t>Motor Vehicles</t>
  </si>
  <si>
    <t>A035</t>
  </si>
  <si>
    <t>Other Operating Leases</t>
  </si>
  <si>
    <t>A03570</t>
  </si>
  <si>
    <t>Technical Equipments</t>
  </si>
  <si>
    <t>A03506</t>
  </si>
  <si>
    <t>A03504</t>
  </si>
  <si>
    <t>A03503</t>
  </si>
  <si>
    <t>Buildings</t>
  </si>
  <si>
    <t>A03502</t>
  </si>
  <si>
    <t>Machinery and Eqiupment</t>
  </si>
  <si>
    <t>A03501</t>
  </si>
  <si>
    <t>Other Occupancey Cost</t>
  </si>
  <si>
    <t>A03470</t>
  </si>
  <si>
    <t>Security Charges</t>
  </si>
  <si>
    <t>Rates and Taxes</t>
  </si>
  <si>
    <t>A03407</t>
  </si>
  <si>
    <t>Rent for other Buildings  - Hostels etc.</t>
  </si>
  <si>
    <t>Hot &amp; Cold Weather Charges</t>
  </si>
  <si>
    <t>Courier and Pilot Services</t>
  </si>
  <si>
    <t>Internet Charges</t>
  </si>
  <si>
    <t>A0320403</t>
  </si>
  <si>
    <t>PERN</t>
  </si>
  <si>
    <t>A0320402</t>
  </si>
  <si>
    <t>Electronic Communication</t>
  </si>
  <si>
    <t>A0320401</t>
  </si>
  <si>
    <t>Telephone &amp; Trunk Calls</t>
  </si>
  <si>
    <t>Postage and Telegraph</t>
  </si>
  <si>
    <t>A031</t>
  </si>
  <si>
    <t>Legal Fees</t>
  </si>
  <si>
    <t>Bank Fees</t>
  </si>
  <si>
    <t xml:space="preserve">Approved 
Budget </t>
  </si>
  <si>
    <t>Revised 
Estimates</t>
  </si>
  <si>
    <t>Leave Salary / Pension Contribution - Deputationists</t>
  </si>
  <si>
    <t>Total Pay of Officers  </t>
  </si>
  <si>
    <t>Total Regular Allowances </t>
  </si>
  <si>
    <t>Total Pay of Staff    </t>
  </si>
  <si>
    <t>A0124407</t>
  </si>
  <si>
    <t>10%
Adhoc</t>
  </si>
  <si>
    <t xml:space="preserve">Budget  Heads </t>
  </si>
  <si>
    <t>Fees    (Total)</t>
  </si>
  <si>
    <t>Communication (Total)</t>
  </si>
  <si>
    <t>Utilities (Total)</t>
  </si>
  <si>
    <t>Occupancy Costs (Total)</t>
  </si>
  <si>
    <t>Operating Leases (Total)</t>
  </si>
  <si>
    <t>Motor Vehicles (Total)</t>
  </si>
  <si>
    <t>General Operating Expenses (Total)</t>
  </si>
  <si>
    <t>Employees Retirement Benefits (Total)</t>
  </si>
  <si>
    <t>Repair and Maintenance (Total)</t>
  </si>
  <si>
    <t>Feasibility Studies (Total)</t>
  </si>
  <si>
    <t>Financial Assistance/ Scholarships (Total)</t>
  </si>
  <si>
    <t>Entertainments and Gifts 
(Total)</t>
  </si>
  <si>
    <t>Expenditure on Acquiring of  Physical Assets (Total)</t>
  </si>
  <si>
    <t>Civil Works - Buildings &amp; Structures (Total)</t>
  </si>
  <si>
    <t>Advances to Employees (Total)</t>
  </si>
  <si>
    <t>Other Transfer Payments (Total)</t>
  </si>
  <si>
    <t>Technical Assistance (Total)</t>
  </si>
  <si>
    <t>Research Survey &amp; Exploratory 
Operations (Total)</t>
  </si>
  <si>
    <t>Travel &amp; Transportation [Total]</t>
  </si>
  <si>
    <t>Consultancy &amp; Contractual Work (Total)</t>
  </si>
  <si>
    <t>Registration Fees -Affiliated Colleges Students only</t>
  </si>
  <si>
    <t>Income from Continuing Education Courses for 
Business &amp; Community</t>
  </si>
  <si>
    <t>Examination Fees-University  On Campus Students</t>
  </si>
  <si>
    <t>Income from Contract Research -Commercial Businesses [non-SMEs]</t>
  </si>
  <si>
    <t>Income from Contract Research -  Non-Commercial Organizations</t>
  </si>
  <si>
    <t> Income from Consultancy &amp; Testing 
[ 536 - 561 ]</t>
  </si>
  <si>
    <t>Income from Intellectual Property 
[ 575 - 610]</t>
  </si>
  <si>
    <t>Income from Services Rendered 
[ 501 - 531 ]</t>
  </si>
  <si>
    <t>h.</t>
  </si>
  <si>
    <t>Charge Allowance  - Deanship / Chairmanship/Headship Allowance</t>
  </si>
  <si>
    <t>Budget Heads</t>
  </si>
  <si>
    <t>Total Own Resources</t>
  </si>
  <si>
    <t>Fresh Enrolment for</t>
  </si>
  <si>
    <t>Total Enrolment</t>
  </si>
  <si>
    <t>Number of Non-Professional Affiliated Colleges</t>
  </si>
  <si>
    <t xml:space="preserve">Number of Professional Affiliated Colleges </t>
  </si>
  <si>
    <t>Salary Scale</t>
  </si>
  <si>
    <t>Consolidated Position:</t>
  </si>
  <si>
    <t>Designation/Title</t>
  </si>
  <si>
    <t>Pay Scale</t>
  </si>
  <si>
    <t>Annual Salary impact</t>
  </si>
  <si>
    <t xml:space="preserve">Name of the University: </t>
  </si>
  <si>
    <t>Annual Salary Impact</t>
  </si>
  <si>
    <t>Number of Sanctioned Posts</t>
  </si>
  <si>
    <t>G.Total</t>
  </si>
  <si>
    <t xml:space="preserve">sub-total </t>
  </si>
  <si>
    <t>HEC -106 (a)</t>
  </si>
  <si>
    <t>HEC-107 (a)</t>
  </si>
  <si>
    <t>HEC-107 (b)</t>
  </si>
  <si>
    <t>Title of Academic Programs (discipline-wise)</t>
  </si>
  <si>
    <t>Management Sciences</t>
  </si>
  <si>
    <t>Agriculture Sciences</t>
  </si>
  <si>
    <t>Tuition Fee</t>
  </si>
  <si>
    <t>Other Fees</t>
  </si>
  <si>
    <t>3 Months</t>
  </si>
  <si>
    <t>6 Months</t>
  </si>
  <si>
    <t>4 Months</t>
  </si>
  <si>
    <t>5 Months</t>
  </si>
  <si>
    <t>Intermediate</t>
  </si>
  <si>
    <t>Bachelors</t>
  </si>
  <si>
    <t>Maters</t>
  </si>
  <si>
    <t>sub-total</t>
  </si>
  <si>
    <t>sub-total (Staff)</t>
  </si>
  <si>
    <t>Fee Structure Type 
[Regular / Self-Finance]</t>
  </si>
  <si>
    <t>All other Fees</t>
  </si>
  <si>
    <t>Total Fees per student</t>
  </si>
  <si>
    <r>
      <t xml:space="preserve">MS / Mphil Programs </t>
    </r>
    <r>
      <rPr>
        <sz val="11"/>
        <rFont val="Arial"/>
        <family val="2"/>
      </rPr>
      <t>[18 years' Education]</t>
    </r>
  </si>
  <si>
    <t>Doctorate / PhD Programs</t>
  </si>
  <si>
    <t>Other Special Courses and Short Courses:</t>
  </si>
  <si>
    <t>Continuing Professional Devleopment Courses for Business &amp; Community</t>
  </si>
  <si>
    <t>Continuing Education Courses for Business &amp; Community</t>
  </si>
  <si>
    <t xml:space="preserve">Title of Academic Programs </t>
  </si>
  <si>
    <t>Management Sci.</t>
  </si>
  <si>
    <t>Computer Sci. / IT</t>
  </si>
  <si>
    <t>Basic,Natural etc.</t>
  </si>
  <si>
    <t>Agriculture Sci.</t>
  </si>
  <si>
    <t>Veterinary Sci.</t>
  </si>
  <si>
    <t xml:space="preserve">Regular </t>
  </si>
  <si>
    <t>Social Sci.</t>
  </si>
  <si>
    <t>Major Discipline Category</t>
  </si>
  <si>
    <t>Self-Fin.</t>
  </si>
  <si>
    <t>Arts,Humnt.</t>
  </si>
  <si>
    <t>C0281380</t>
  </si>
  <si>
    <t>HEC-107 (e)</t>
  </si>
  <si>
    <t>Ratios and Indicators</t>
  </si>
  <si>
    <t>Treasurer / Director Finance</t>
  </si>
  <si>
    <t>Budget Analysis and Key Finanical Indicators</t>
  </si>
  <si>
    <t xml:space="preserve">6.  Total Faculty </t>
  </si>
  <si>
    <t>7.  Total Administrative Staff</t>
  </si>
  <si>
    <t>8.  Total Enrollment</t>
  </si>
  <si>
    <t>9.  Total Number of Academic Programs</t>
  </si>
  <si>
    <t>10.  Key Ratios:</t>
  </si>
  <si>
    <t>11.  Potential Risk - Cost of Reitrement Benefits:</t>
  </si>
  <si>
    <r>
      <rPr>
        <b/>
        <sz val="11.5"/>
        <color rgb="FF000000"/>
        <rFont val="Garamond"/>
        <family val="1"/>
      </rPr>
      <t>a.</t>
    </r>
    <r>
      <rPr>
        <sz val="11.5"/>
        <color rgb="FF000000"/>
        <rFont val="Garamond"/>
        <family val="1"/>
      </rPr>
      <t xml:space="preserve">  Faculty  :  Staff Ratio</t>
    </r>
  </si>
  <si>
    <r>
      <rPr>
        <b/>
        <sz val="11.5"/>
        <color rgb="FF000000"/>
        <rFont val="Garamond"/>
        <family val="1"/>
      </rPr>
      <t>b.</t>
    </r>
    <r>
      <rPr>
        <sz val="11.5"/>
        <color rgb="FF000000"/>
        <rFont val="Garamond"/>
        <family val="1"/>
      </rPr>
      <t xml:space="preserve">  Faculty :  Student Ratio</t>
    </r>
  </si>
  <si>
    <r>
      <rPr>
        <b/>
        <sz val="11.5"/>
        <color rgb="FF000000"/>
        <rFont val="Garamond"/>
        <family val="1"/>
      </rPr>
      <t>c.</t>
    </r>
    <r>
      <rPr>
        <sz val="11.5"/>
        <color rgb="FF000000"/>
        <rFont val="Garamond"/>
        <family val="1"/>
      </rPr>
      <t xml:space="preserve">  Self-Generated Income as % of total Resources</t>
    </r>
  </si>
  <si>
    <r>
      <rPr>
        <b/>
        <sz val="11.5"/>
        <color rgb="FF000000"/>
        <rFont val="Garamond"/>
        <family val="1"/>
      </rPr>
      <t xml:space="preserve">d. </t>
    </r>
    <r>
      <rPr>
        <sz val="11.5"/>
        <color rgb="FF000000"/>
        <rFont val="Garamond"/>
        <family val="1"/>
      </rPr>
      <t xml:space="preserve"> Self-Generated Income as % of total Expenditures</t>
    </r>
  </si>
  <si>
    <r>
      <rPr>
        <b/>
        <sz val="11.5"/>
        <color rgb="FF000000"/>
        <rFont val="Garamond"/>
        <family val="1"/>
      </rPr>
      <t xml:space="preserve">e. </t>
    </r>
    <r>
      <rPr>
        <sz val="11.5"/>
        <color rgb="FF000000"/>
        <rFont val="Garamond"/>
        <family val="1"/>
      </rPr>
      <t xml:space="preserve"> Recurring Grant as %age of total Expenditures </t>
    </r>
  </si>
  <si>
    <r>
      <rPr>
        <b/>
        <sz val="11.5"/>
        <color rgb="FF000000"/>
        <rFont val="Garamond"/>
        <family val="1"/>
      </rPr>
      <t>g.</t>
    </r>
    <r>
      <rPr>
        <sz val="11.5"/>
        <color rgb="FF000000"/>
        <rFont val="Garamond"/>
        <family val="1"/>
      </rPr>
      <t xml:space="preserve">  Salary as % of Total Expenditure</t>
    </r>
  </si>
  <si>
    <r>
      <rPr>
        <b/>
        <sz val="11.5"/>
        <color rgb="FF000000"/>
        <rFont val="Garamond"/>
        <family val="1"/>
      </rPr>
      <t>h.</t>
    </r>
    <r>
      <rPr>
        <sz val="11.5"/>
        <color rgb="FF000000"/>
        <rFont val="Garamond"/>
        <family val="1"/>
      </rPr>
      <t xml:space="preserve">  Non-Salary as % of Total Expenditure</t>
    </r>
  </si>
  <si>
    <r>
      <rPr>
        <b/>
        <sz val="11"/>
        <color rgb="FF000000"/>
        <rFont val="Garamond"/>
        <family val="1"/>
      </rPr>
      <t xml:space="preserve">a. </t>
    </r>
    <r>
      <rPr>
        <sz val="11"/>
        <color rgb="FF000000"/>
        <rFont val="Garamond"/>
        <family val="1"/>
      </rPr>
      <t xml:space="preserve">  Annual Pension Payments                     [Million Rs.]</t>
    </r>
  </si>
  <si>
    <r>
      <rPr>
        <b/>
        <sz val="11.5"/>
        <color rgb="FF000000"/>
        <rFont val="Garamond"/>
        <family val="1"/>
      </rPr>
      <t>b.</t>
    </r>
    <r>
      <rPr>
        <sz val="11.5"/>
        <color rgb="FF000000"/>
        <rFont val="Garamond"/>
        <family val="1"/>
      </rPr>
      <t xml:space="preserve">   Non-PhD</t>
    </r>
  </si>
  <si>
    <r>
      <rPr>
        <b/>
        <sz val="11.5"/>
        <color rgb="FF000000"/>
        <rFont val="Garamond"/>
        <family val="1"/>
      </rPr>
      <t xml:space="preserve">a. </t>
    </r>
    <r>
      <rPr>
        <sz val="11.5"/>
        <color rgb="FF000000"/>
        <rFont val="Garamond"/>
        <family val="1"/>
      </rPr>
      <t xml:space="preserve">  PhD</t>
    </r>
  </si>
  <si>
    <r>
      <rPr>
        <b/>
        <sz val="11.5"/>
        <color rgb="FF000000"/>
        <rFont val="Garamond"/>
        <family val="1"/>
      </rPr>
      <t xml:space="preserve">a.   </t>
    </r>
    <r>
      <rPr>
        <sz val="11.5"/>
        <color rgb="FF000000"/>
        <rFont val="Garamond"/>
        <family val="1"/>
      </rPr>
      <t>Officers (BPS 17 and above)</t>
    </r>
  </si>
  <si>
    <r>
      <rPr>
        <b/>
        <sz val="11.5"/>
        <color rgb="FF000000"/>
        <rFont val="Garamond"/>
        <family val="1"/>
      </rPr>
      <t xml:space="preserve">c.   </t>
    </r>
    <r>
      <rPr>
        <sz val="11.5"/>
        <color rgb="FF000000"/>
        <rFont val="Garamond"/>
        <family val="1"/>
      </rPr>
      <t>Allied Staff (BPS 1 to 5)</t>
    </r>
  </si>
  <si>
    <r>
      <rPr>
        <b/>
        <sz val="11.5"/>
        <color rgb="FF000000"/>
        <rFont val="Garamond"/>
        <family val="1"/>
      </rPr>
      <t xml:space="preserve">b.   </t>
    </r>
    <r>
      <rPr>
        <sz val="11.5"/>
        <color rgb="FF000000"/>
        <rFont val="Garamond"/>
        <family val="1"/>
      </rPr>
      <t>Allied Staff (BPS 6 to 16)</t>
    </r>
  </si>
  <si>
    <r>
      <rPr>
        <b/>
        <sz val="12"/>
        <color rgb="FF000000"/>
        <rFont val="Garamond"/>
        <family val="1"/>
      </rPr>
      <t>1.  Cost Per Student</t>
    </r>
    <r>
      <rPr>
        <sz val="12"/>
        <color rgb="FF000000"/>
        <rFont val="Garamond"/>
        <family val="1"/>
      </rPr>
      <t xml:space="preserve">                   </t>
    </r>
    <r>
      <rPr>
        <sz val="11"/>
        <color rgb="FF000000"/>
        <rFont val="Garamond"/>
        <family val="1"/>
      </rPr>
      <t xml:space="preserve">      [in Rupees]</t>
    </r>
  </si>
  <si>
    <r>
      <rPr>
        <b/>
        <sz val="12"/>
        <color rgb="FF000000"/>
        <rFont val="Garamond"/>
        <family val="1"/>
      </rPr>
      <t>2.</t>
    </r>
    <r>
      <rPr>
        <sz val="12"/>
        <color rgb="FF000000"/>
        <rFont val="Garamond"/>
        <family val="1"/>
      </rPr>
      <t xml:space="preserve">  Recurring Grant Per Student    </t>
    </r>
    <r>
      <rPr>
        <sz val="11"/>
        <color rgb="FF000000"/>
        <rFont val="Garamond"/>
        <family val="1"/>
      </rPr>
      <t xml:space="preserve"> [in Rupees]</t>
    </r>
  </si>
  <si>
    <r>
      <rPr>
        <b/>
        <sz val="12"/>
        <color rgb="FF000000"/>
        <rFont val="Garamond"/>
        <family val="1"/>
      </rPr>
      <t xml:space="preserve">4.  </t>
    </r>
    <r>
      <rPr>
        <sz val="12"/>
        <color rgb="FF000000"/>
        <rFont val="Garamond"/>
        <family val="1"/>
      </rPr>
      <t xml:space="preserve">Fees Income Per Student        </t>
    </r>
    <r>
      <rPr>
        <sz val="11"/>
        <color rgb="FF000000"/>
        <rFont val="Garamond"/>
        <family val="1"/>
      </rPr>
      <t xml:space="preserve">  [in Rupees]</t>
    </r>
  </si>
  <si>
    <t>Name of Teaching Departments</t>
  </si>
  <si>
    <t>From
Industry</t>
  </si>
  <si>
    <r>
      <t xml:space="preserve">Research Funding
</t>
    </r>
    <r>
      <rPr>
        <sz val="10"/>
        <rFont val="Arial"/>
        <family val="2"/>
      </rPr>
      <t xml:space="preserve">[Million Rs] </t>
    </r>
    <r>
      <rPr>
        <b/>
        <sz val="10"/>
        <rFont val="Arial"/>
        <family val="2"/>
      </rPr>
      <t xml:space="preserve">                         </t>
    </r>
  </si>
  <si>
    <t>From
 Govts.</t>
  </si>
  <si>
    <t>Registrar / Director (ORICs)</t>
  </si>
  <si>
    <r>
      <rPr>
        <b/>
        <sz val="12"/>
        <color rgb="FF000000"/>
        <rFont val="Garamond"/>
        <family val="1"/>
      </rPr>
      <t xml:space="preserve">3. </t>
    </r>
    <r>
      <rPr>
        <sz val="12"/>
        <color rgb="FF000000"/>
        <rFont val="Garamond"/>
        <family val="1"/>
      </rPr>
      <t xml:space="preserve"> Total Own Income Per Student</t>
    </r>
    <r>
      <rPr>
        <sz val="11"/>
        <color rgb="FF000000"/>
        <rFont val="Garamond"/>
        <family val="1"/>
      </rPr>
      <t xml:space="preserve"> [in Rupees]</t>
    </r>
  </si>
  <si>
    <r>
      <rPr>
        <b/>
        <sz val="11"/>
        <color rgb="FF000000"/>
        <rFont val="Garamond"/>
        <family val="1"/>
      </rPr>
      <t>b.</t>
    </r>
    <r>
      <rPr>
        <sz val="11"/>
        <color rgb="FF000000"/>
        <rFont val="Garamond"/>
        <family val="1"/>
      </rPr>
      <t xml:space="preserve">  Actuarial Valuation of 'Pension Liability' [Million Rs.]</t>
    </r>
  </si>
  <si>
    <r>
      <rPr>
        <b/>
        <sz val="11"/>
        <color rgb="FF000000"/>
        <rFont val="Garamond"/>
        <family val="1"/>
      </rPr>
      <t xml:space="preserve">c.  </t>
    </r>
    <r>
      <rPr>
        <sz val="11"/>
        <color rgb="FF000000"/>
        <rFont val="Garamond"/>
        <family val="1"/>
      </rPr>
      <t>Amount Available in Pension Fund        [Million Rs.]</t>
    </r>
  </si>
  <si>
    <r>
      <rPr>
        <b/>
        <sz val="11"/>
        <color rgb="FF000000"/>
        <rFont val="Garamond"/>
        <family val="1"/>
      </rPr>
      <t xml:space="preserve">d.  </t>
    </r>
    <r>
      <rPr>
        <sz val="11"/>
        <color rgb="FF000000"/>
        <rFont val="Garamond"/>
        <family val="1"/>
      </rPr>
      <t>Asset / Funding Gap [(11(</t>
    </r>
    <r>
      <rPr>
        <b/>
        <sz val="11"/>
        <color rgb="FF000000"/>
        <rFont val="Garamond"/>
        <family val="1"/>
      </rPr>
      <t>b</t>
    </r>
    <r>
      <rPr>
        <sz val="11"/>
        <color rgb="FF000000"/>
        <rFont val="Garamond"/>
        <family val="1"/>
      </rPr>
      <t>) -11(</t>
    </r>
    <r>
      <rPr>
        <b/>
        <sz val="11"/>
        <color rgb="FF000000"/>
        <rFont val="Garamond"/>
        <family val="1"/>
      </rPr>
      <t>c</t>
    </r>
    <r>
      <rPr>
        <sz val="11"/>
        <color rgb="FF000000"/>
        <rFont val="Garamond"/>
        <family val="1"/>
      </rPr>
      <t>)]      [Million Rs.]</t>
    </r>
  </si>
  <si>
    <r>
      <rPr>
        <b/>
        <sz val="11"/>
        <color rgb="FF000000"/>
        <rFont val="Garamond"/>
        <family val="1"/>
      </rPr>
      <t xml:space="preserve">e. </t>
    </r>
    <r>
      <rPr>
        <sz val="11"/>
        <color rgb="FF000000"/>
        <rFont val="Garamond"/>
        <family val="1"/>
      </rPr>
      <t>Annual Contributions to Pension Fund    [Million Rs]</t>
    </r>
  </si>
  <si>
    <t>Total Inflows during the year</t>
  </si>
  <si>
    <t>Total Outflows during the year</t>
  </si>
  <si>
    <t>HEC-108</t>
  </si>
  <si>
    <t>HEC-106</t>
  </si>
  <si>
    <r>
      <t xml:space="preserve">AVERAGE FEES PER STUDENT - </t>
    </r>
    <r>
      <rPr>
        <b/>
        <sz val="12"/>
        <color rgb="FFC00000"/>
        <rFont val="Arial"/>
        <family val="2"/>
      </rPr>
      <t>ANNUAL</t>
    </r>
  </si>
  <si>
    <t>1.     Opening Balance:</t>
  </si>
  <si>
    <t>Course Fees -  'Post-Graduate Diploma'</t>
  </si>
  <si>
    <t>C0281381</t>
  </si>
  <si>
    <t>C0281382</t>
  </si>
  <si>
    <t>Course Fees -  'Diploma Courses - Others'</t>
  </si>
  <si>
    <t>Course Fees -  'Special / Short Courses'</t>
  </si>
  <si>
    <t>new added</t>
  </si>
  <si>
    <t>Million Rupees</t>
  </si>
  <si>
    <t>Enrollment &amp; Annual Income from Post Graduate Diploma /
 Diploma and other Special Courses</t>
  </si>
  <si>
    <t>Other Diploma Courses:</t>
  </si>
  <si>
    <t>Director Finance / Treasurer</t>
  </si>
  <si>
    <r>
      <rPr>
        <b/>
        <sz val="11.5"/>
        <color rgb="FF000000"/>
        <rFont val="Garamond"/>
        <family val="1"/>
      </rPr>
      <t>d.</t>
    </r>
    <r>
      <rPr>
        <sz val="11.5"/>
        <color rgb="FF000000"/>
        <rFont val="Garamond"/>
        <family val="1"/>
      </rPr>
      <t xml:space="preserve">  PGD (1 year &amp; 2 years duration only)</t>
    </r>
  </si>
  <si>
    <t>Title of Regular Post Graduate Diploma &amp; Other Special Courses</t>
  </si>
  <si>
    <t>Post Graduate Diploma (1 year &amp; 2 years duration only):</t>
  </si>
  <si>
    <t>1 year</t>
  </si>
  <si>
    <t>2 years</t>
  </si>
  <si>
    <t>Entry Requirement</t>
  </si>
  <si>
    <t>14 years' Education</t>
  </si>
  <si>
    <t>Other Special and Short Courses:</t>
  </si>
  <si>
    <t>Continuing Professional Devleopment Courses for Business &amp; Community:</t>
  </si>
  <si>
    <t>Continuing Education Courses for Business &amp; Community:</t>
  </si>
  <si>
    <t>12 years' Education</t>
  </si>
  <si>
    <t>9 Months</t>
  </si>
  <si>
    <t>16 years' Edu. &amp; &gt;</t>
  </si>
  <si>
    <t>2 Months</t>
  </si>
  <si>
    <t>1 Month</t>
  </si>
  <si>
    <t>Director Finance/Treasurer</t>
  </si>
  <si>
    <t>Registrar / Director QEC</t>
  </si>
  <si>
    <t>(Select from list)</t>
  </si>
  <si>
    <t>Duration</t>
  </si>
  <si>
    <t>&lt; 12 year Education</t>
  </si>
  <si>
    <t>None</t>
  </si>
  <si>
    <r>
      <t xml:space="preserve">Post Graduate Diploma -  </t>
    </r>
    <r>
      <rPr>
        <sz val="11"/>
        <rFont val="Arial"/>
        <family val="2"/>
      </rPr>
      <t>(1 year &amp; 2 years duration only)</t>
    </r>
    <r>
      <rPr>
        <b/>
        <sz val="11"/>
        <rFont val="Arial"/>
        <family val="2"/>
      </rPr>
      <t>:</t>
    </r>
  </si>
  <si>
    <t>HEC-112</t>
  </si>
  <si>
    <t>Special Relief Allow 20%</t>
  </si>
  <si>
    <t>HEC-111</t>
  </si>
  <si>
    <t>HEC-107</t>
  </si>
  <si>
    <r>
      <rPr>
        <b/>
        <sz val="12"/>
        <color rgb="FF000000"/>
        <rFont val="Garamond"/>
        <family val="1"/>
      </rPr>
      <t>5.</t>
    </r>
    <r>
      <rPr>
        <sz val="12"/>
        <color rgb="FF000000"/>
        <rFont val="Garamond"/>
        <family val="1"/>
      </rPr>
      <t xml:space="preserve">  Provincial Recurring Support [</t>
    </r>
    <r>
      <rPr>
        <sz val="11"/>
        <color rgb="FF000000"/>
        <rFont val="Garamond"/>
        <family val="1"/>
      </rPr>
      <t>Per Student (if any)</t>
    </r>
    <r>
      <rPr>
        <sz val="12"/>
        <color rgb="FF000000"/>
        <rFont val="Garamond"/>
        <family val="1"/>
      </rPr>
      <t>]</t>
    </r>
  </si>
  <si>
    <r>
      <rPr>
        <b/>
        <sz val="11"/>
        <color rgb="FF000000"/>
        <rFont val="Garamond"/>
        <family val="1"/>
      </rPr>
      <t xml:space="preserve">a.  </t>
    </r>
    <r>
      <rPr>
        <sz val="11"/>
        <color rgb="FF000000"/>
        <rFont val="Garamond"/>
        <family val="1"/>
      </rPr>
      <t>Salary Expense Basis                  [in Rupees]</t>
    </r>
  </si>
  <si>
    <r>
      <rPr>
        <b/>
        <sz val="11"/>
        <color rgb="FF000000"/>
        <rFont val="Garamond"/>
        <family val="1"/>
      </rPr>
      <t xml:space="preserve">b.  </t>
    </r>
    <r>
      <rPr>
        <sz val="11"/>
        <color rgb="FF000000"/>
        <rFont val="Garamond"/>
        <family val="1"/>
      </rPr>
      <t xml:space="preserve">Non-Salary Expense Basis         [in Rupees] </t>
    </r>
  </si>
  <si>
    <t>Category</t>
  </si>
  <si>
    <t>Number of Publications</t>
  </si>
  <si>
    <t>List of JCR Journals</t>
  </si>
  <si>
    <t>List of X,Y,Z Journlas</t>
  </si>
  <si>
    <r>
      <t xml:space="preserve">Research Projects </t>
    </r>
    <r>
      <rPr>
        <sz val="8"/>
        <rFont val="Arial"/>
        <family val="2"/>
      </rPr>
      <t>[Numbers]</t>
    </r>
  </si>
  <si>
    <t>X</t>
  </si>
  <si>
    <t>Y</t>
  </si>
  <si>
    <t>Z</t>
  </si>
  <si>
    <t>from Local sources</t>
  </si>
  <si>
    <t xml:space="preserve">Type of Journals </t>
  </si>
  <si>
    <t>HEC Weblink:</t>
  </si>
  <si>
    <t>[Million Rs.]</t>
  </si>
  <si>
    <t>Impact of Vacant Posts Included in Estimates</t>
  </si>
  <si>
    <t>Impact of Planned Hiring during the Year</t>
  </si>
  <si>
    <t>Incremental impact of filled posts - Annual</t>
  </si>
  <si>
    <t>Salary of Officers &amp; staff -All Non-Teaching Departt:</t>
  </si>
  <si>
    <t xml:space="preserve">Headwise detail of Non-Salary Expenditure </t>
  </si>
  <si>
    <t>Total Non-Salary Expenses</t>
  </si>
  <si>
    <t>Million Rs.</t>
  </si>
  <si>
    <t>[Rupees in Million]</t>
  </si>
  <si>
    <t>G.</t>
  </si>
  <si>
    <t>A0397007</t>
  </si>
  <si>
    <t>A0397008</t>
  </si>
  <si>
    <t> ii. Operational Cost of Quality Enhancement 
    Cell (QEC)</t>
  </si>
  <si>
    <t> iv. Conduct of Examinations</t>
  </si>
  <si>
    <t> v. Sports Activities</t>
  </si>
  <si>
    <t> vi. Remuneration to Thesis Supervisers</t>
  </si>
  <si>
    <t> vii. Remuneration to Part-
     time Teachers / Visiting Faculty</t>
  </si>
  <si>
    <t> i. Operational Cost- Office of Research 
    Innovation &amp; Commercialization (ORIC)</t>
  </si>
  <si>
    <t> iii. Operational Cost of Financial Aid 
      Development Office (FADO)</t>
  </si>
  <si>
    <t>A0124408</t>
  </si>
  <si>
    <t>A0124409</t>
  </si>
  <si>
    <t>All Other Fees</t>
  </si>
  <si>
    <t>Hostel / User Charges, etc.</t>
  </si>
  <si>
    <r>
      <rPr>
        <b/>
        <sz val="11.5"/>
        <color rgb="FF000000"/>
        <rFont val="Garamond"/>
        <family val="1"/>
      </rPr>
      <t>f.</t>
    </r>
    <r>
      <rPr>
        <sz val="11.5"/>
        <color rgb="FF000000"/>
        <rFont val="Garamond"/>
        <family val="1"/>
      </rPr>
      <t xml:space="preserve">   Students Fees as % of Cost per student</t>
    </r>
  </si>
  <si>
    <t>Basic, Natural Sci. etc.</t>
  </si>
  <si>
    <t>S. No.</t>
  </si>
  <si>
    <t>Summarized Budget Profile</t>
  </si>
  <si>
    <t>106 (a)</t>
  </si>
  <si>
    <t>107 (a)</t>
  </si>
  <si>
    <t>107 (b)</t>
  </si>
  <si>
    <t>107 (c)</t>
  </si>
  <si>
    <t>107(d)</t>
  </si>
  <si>
    <t>Financial Data &amp; Indicators</t>
  </si>
  <si>
    <t>Budget Analysis and Key Financial Indicators</t>
  </si>
  <si>
    <t>Miscellaneous Information</t>
  </si>
  <si>
    <t>Nominal Roll- Employee wise detail of Pay &amp; Allowances</t>
  </si>
  <si>
    <t xml:space="preserve">Academic Programs, Fee Structure and Student Enrolment </t>
  </si>
  <si>
    <t>Faculty &amp; Staff Strength</t>
  </si>
  <si>
    <t>HEC-113</t>
  </si>
  <si>
    <t>Statutory Bodies 
(As per Act/Ordinance)</t>
  </si>
  <si>
    <t>S#</t>
  </si>
  <si>
    <t xml:space="preserve">Internal </t>
  </si>
  <si>
    <t xml:space="preserve">External </t>
  </si>
  <si>
    <r>
      <t xml:space="preserve">Statutory Compostion 
</t>
    </r>
    <r>
      <rPr>
        <b/>
        <sz val="8"/>
        <rFont val="Arial"/>
        <family val="2"/>
      </rPr>
      <t>[Number of Memebrs]</t>
    </r>
  </si>
  <si>
    <t>Controller of Examinations</t>
  </si>
  <si>
    <t>Appointing Authority</t>
  </si>
  <si>
    <t>Filled /
Vacant</t>
  </si>
  <si>
    <t>Duration
(Months)</t>
  </si>
  <si>
    <t xml:space="preserve">Registrar </t>
  </si>
  <si>
    <t>Registrar</t>
  </si>
  <si>
    <t>Functioning of Statutory Bodies and
 Incumbancy Status of Key Administrative Offices</t>
  </si>
  <si>
    <t>Number of Meetings per Year</t>
  </si>
  <si>
    <t>Temporary / Permanent basis</t>
  </si>
  <si>
    <r>
      <rPr>
        <b/>
        <sz val="10"/>
        <rFont val="Arial"/>
        <family val="2"/>
      </rPr>
      <t>Required Meetings</t>
    </r>
    <r>
      <rPr>
        <sz val="10"/>
        <rFont val="Arial"/>
        <family val="2"/>
      </rPr>
      <t xml:space="preserve"> [as per Act]</t>
    </r>
  </si>
  <si>
    <t>107</t>
  </si>
  <si>
    <t>Enrollment &amp; Annual Income from Post Graduate Diploma /
Diploma and other Special Courses</t>
  </si>
  <si>
    <t>Proforma #</t>
  </si>
  <si>
    <t>Proforma Title</t>
  </si>
  <si>
    <t>Functioning of Statutory Bodies and Incumbancy Status of Key Administrative Offices</t>
  </si>
  <si>
    <t>107 (e)</t>
  </si>
  <si>
    <t>2017-18</t>
  </si>
  <si>
    <t>Patent Filing Support</t>
  </si>
  <si>
    <t>Other Operational Expenses</t>
  </si>
  <si>
    <t>102 (a)</t>
  </si>
  <si>
    <t>102 (b)</t>
  </si>
  <si>
    <t>HEC-102 (a)</t>
  </si>
  <si>
    <t>HEC-102 (b)</t>
  </si>
  <si>
    <t>Key Result Areas</t>
  </si>
  <si>
    <t>Sr.#</t>
  </si>
  <si>
    <t>Key Performance Indicators</t>
  </si>
  <si>
    <t>Targets for the Year</t>
  </si>
  <si>
    <t>Enhance the Equitable Access to Higher Education</t>
  </si>
  <si>
    <t>Responsibility Assigned to:</t>
  </si>
  <si>
    <t xml:space="preserve">Name of the University / Institution:_________________________________________________ </t>
  </si>
  <si>
    <t>SIGNATURE:</t>
  </si>
  <si>
    <t>VICE CHANCELLOR/RECTOR/
HEAD OF INSTITUTION</t>
  </si>
  <si>
    <t>Number of Academic Programs:</t>
  </si>
  <si>
    <t>Reasons for Variation</t>
  </si>
  <si>
    <t>HEC-105(a)</t>
  </si>
  <si>
    <t xml:space="preserve">Networking for Linkages </t>
  </si>
  <si>
    <t>Events Support</t>
  </si>
  <si>
    <t>A.   Office of Research, Innovation and Commercialization (ORIC):</t>
  </si>
  <si>
    <t>Number of Teaching Departments:</t>
  </si>
  <si>
    <t>Age of the University/Institution:</t>
  </si>
  <si>
    <t>Research Commercialization - Marketing Cost</t>
  </si>
  <si>
    <t>Director (ORIC)</t>
  </si>
  <si>
    <t>Treasurer/Director Finance</t>
  </si>
  <si>
    <t>Trainings &amp; Workshops, etc.</t>
  </si>
  <si>
    <t>B.   Quality Enhancement Cell (QEC):</t>
  </si>
  <si>
    <t>C.   Financial Aid Development Office (FAD):</t>
  </si>
  <si>
    <t>Director (QEC)</t>
  </si>
  <si>
    <t>Director (FAD)</t>
  </si>
  <si>
    <t>Budget  Heads    [Non-Salary]</t>
  </si>
  <si>
    <t>Budgetary Allocations for Special Initiatives:</t>
  </si>
  <si>
    <t>105(a)</t>
  </si>
  <si>
    <t xml:space="preserve">Headwise detail of Non-Salary Expenditures </t>
  </si>
  <si>
    <r>
      <t xml:space="preserve">Categories
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'X'</t>
    </r>
    <r>
      <rPr>
        <b/>
        <sz val="10"/>
        <rFont val="Arial"/>
        <family val="2"/>
      </rPr>
      <t xml:space="preserve">, </t>
    </r>
    <r>
      <rPr>
        <b/>
        <sz val="10"/>
        <color rgb="FF0070C0"/>
        <rFont val="Arial"/>
        <family val="2"/>
      </rPr>
      <t>'Y'</t>
    </r>
    <r>
      <rPr>
        <b/>
        <sz val="10"/>
        <rFont val="Arial"/>
        <family val="2"/>
      </rPr>
      <t xml:space="preserve"> , </t>
    </r>
    <r>
      <rPr>
        <b/>
        <sz val="10"/>
        <color theme="9" tint="-0.499984740745262"/>
        <rFont val="Arial"/>
        <family val="2"/>
      </rPr>
      <t>'Z'</t>
    </r>
  </si>
  <si>
    <t>New Enrolment during</t>
  </si>
  <si>
    <t>Trend</t>
  </si>
  <si>
    <t>Total  Available Funding  (Million Rs):</t>
  </si>
  <si>
    <t>i.   Recurirng Grants (all sources):</t>
  </si>
  <si>
    <t>ii.  Development Grants (all sources):</t>
  </si>
  <si>
    <t>Adhoc.R Allowance 2016 - 10%</t>
  </si>
  <si>
    <t>Adhoc.R Allowance 2017 - 10%</t>
  </si>
  <si>
    <t>Special Addl: Allowance 2013 - 20%</t>
  </si>
  <si>
    <r>
      <rPr>
        <sz val="10"/>
        <color rgb="FFC00000"/>
        <rFont val="Arial"/>
        <family val="2"/>
      </rPr>
      <t>Impact Factor Journals</t>
    </r>
    <r>
      <rPr>
        <sz val="10"/>
        <rFont val="Arial"/>
        <family val="2"/>
      </rPr>
      <t xml:space="preserve"> -  [JCR only]</t>
    </r>
  </si>
  <si>
    <r>
      <t xml:space="preserve">Number of Research Publications
 </t>
    </r>
    <r>
      <rPr>
        <sz val="10"/>
        <rFont val="Arial"/>
        <family val="2"/>
      </rPr>
      <t>in HEC recognized</t>
    </r>
  </si>
  <si>
    <t>iii. Total Self-Generated Revenues:</t>
  </si>
  <si>
    <t>2020-21</t>
  </si>
  <si>
    <t>Enhance the Quality of Higher Education, Outcome-based Learning, and Use of Innovative Modes of Delivery</t>
  </si>
  <si>
    <t>Increase Faculty with Highest Academic Qualification and Professional Skills</t>
  </si>
  <si>
    <t>Promote Relevant Research, Innovation and Commercialization</t>
  </si>
  <si>
    <t>Strengthen Leadership, Governance and Financial Managenet in HE Sector</t>
  </si>
  <si>
    <r>
      <t xml:space="preserve">Monitoring Protocol - </t>
    </r>
    <r>
      <rPr>
        <sz val="11"/>
        <color theme="1"/>
        <rFont val="Garamond"/>
        <family val="1"/>
      </rPr>
      <t xml:space="preserve">
Basis of External Verification - reports, etc.</t>
    </r>
  </si>
  <si>
    <r>
      <t xml:space="preserve">Held in 2018
</t>
    </r>
    <r>
      <rPr>
        <sz val="10"/>
        <rFont val="Arial"/>
        <family val="2"/>
      </rPr>
      <t>[Jan-Dec]</t>
    </r>
  </si>
  <si>
    <t>from International sources</t>
  </si>
  <si>
    <t>Adhoc.R Allowance 2018 - 10%</t>
  </si>
  <si>
    <t>A0124410</t>
  </si>
  <si>
    <t>1. Number of Public Collges = 
2. Number of Private Colleges =</t>
  </si>
  <si>
    <t>1. Number of Public Colleges = 
2. Number of Private Colleges =</t>
  </si>
  <si>
    <r>
      <rPr>
        <b/>
        <sz val="12"/>
        <rFont val="Arial"/>
        <family val="2"/>
      </rPr>
      <t>A1.</t>
    </r>
    <r>
      <rPr>
        <sz val="11"/>
        <rFont val="Arial"/>
        <family val="2"/>
      </rPr>
      <t xml:space="preserve"> </t>
    </r>
    <r>
      <rPr>
        <b/>
        <u/>
        <sz val="11"/>
        <color indexed="10"/>
        <rFont val="Arial"/>
        <family val="2"/>
      </rPr>
      <t>Fresh</t>
    </r>
    <r>
      <rPr>
        <sz val="11"/>
        <rFont val="Arial"/>
        <family val="2"/>
      </rPr>
      <t xml:space="preserve"> Students Enrolled at </t>
    </r>
    <r>
      <rPr>
        <b/>
        <sz val="11"/>
        <color rgb="FFFF0000"/>
        <rFont val="Arial"/>
        <family val="2"/>
      </rPr>
      <t xml:space="preserve">Affiliated (Non-Professional ) Colleges </t>
    </r>
    <r>
      <rPr>
        <sz val="11"/>
        <rFont val="Arial"/>
        <family val="2"/>
      </rPr>
      <t>by Discipline.</t>
    </r>
  </si>
  <si>
    <r>
      <rPr>
        <b/>
        <sz val="12"/>
        <rFont val="Arial"/>
        <family val="2"/>
      </rPr>
      <t>A2</t>
    </r>
    <r>
      <rPr>
        <sz val="11"/>
        <rFont val="Arial"/>
        <family val="2"/>
      </rPr>
      <t xml:space="preserve">. </t>
    </r>
    <r>
      <rPr>
        <b/>
        <u/>
        <sz val="11"/>
        <color indexed="10"/>
        <rFont val="Arial"/>
        <family val="2"/>
      </rPr>
      <t>Fresh</t>
    </r>
    <r>
      <rPr>
        <sz val="11"/>
        <rFont val="Arial"/>
        <family val="2"/>
      </rPr>
      <t xml:space="preserve"> Students (1st year 1st semester) Enrolled at </t>
    </r>
    <r>
      <rPr>
        <b/>
        <sz val="11"/>
        <color rgb="FFFF0000"/>
        <rFont val="Arial"/>
        <family val="2"/>
      </rPr>
      <t>Affiliated Professional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Colleges</t>
    </r>
    <r>
      <rPr>
        <sz val="11"/>
        <rFont val="Arial"/>
        <family val="2"/>
      </rPr>
      <t>(Commerce, Education, Engineering, Law and Medical etc)  by Discipline.</t>
    </r>
  </si>
  <si>
    <t>[Amount in Rupees]</t>
  </si>
  <si>
    <t>HEAD-WISE DETAIL OF SELF-GENERATED REVENUES</t>
  </si>
  <si>
    <t>Headwise detail of Self-Generated Revenues</t>
  </si>
  <si>
    <t>Budgetary Allocation for ORIC,QEC, FAD</t>
  </si>
  <si>
    <t>Total Appeared</t>
  </si>
  <si>
    <t>2021-22</t>
  </si>
  <si>
    <r>
      <t xml:space="preserve">Held in 2019
</t>
    </r>
    <r>
      <rPr>
        <sz val="10"/>
        <rFont val="Arial"/>
        <family val="2"/>
      </rPr>
      <t>[Jan-Dec]</t>
    </r>
  </si>
  <si>
    <t xml:space="preserve">
Adhoc</t>
  </si>
  <si>
    <t>Creative Arts &amp; Design</t>
  </si>
  <si>
    <t>Undergraduate Studies 
[PQF Level 5 and 6]</t>
  </si>
  <si>
    <t>Graduate Studies
[PQF Leve 7 and 8]</t>
  </si>
  <si>
    <t>Year-1</t>
  </si>
  <si>
    <t>Year-2</t>
  </si>
  <si>
    <t>Year3</t>
  </si>
  <si>
    <t>Year-4</t>
  </si>
  <si>
    <t>Annual Fee Income from Students (2020-21)</t>
  </si>
  <si>
    <t>MS / M.Phil</t>
  </si>
  <si>
    <t>Graduate Studies
[PQF Leve 7]
MS / Mphil</t>
  </si>
  <si>
    <t>Graduate Studies
[PQF Leve 8]
PhD</t>
  </si>
  <si>
    <r>
      <rPr>
        <b/>
        <sz val="11.5"/>
        <color rgb="FF000000"/>
        <rFont val="Garamond"/>
        <family val="1"/>
      </rPr>
      <t>c.</t>
    </r>
    <r>
      <rPr>
        <sz val="11.5"/>
        <color rgb="FF000000"/>
        <rFont val="Garamond"/>
        <family val="1"/>
      </rPr>
      <t xml:space="preserve">  Graduate Studies [PQF Leve 8] </t>
    </r>
    <r>
      <rPr>
        <b/>
        <sz val="11.5"/>
        <color theme="9" tint="-0.249977111117893"/>
        <rFont val="Garamond"/>
        <family val="1"/>
      </rPr>
      <t>PhD</t>
    </r>
  </si>
  <si>
    <t>Key Administrative Officers - Name &amp; Email</t>
  </si>
  <si>
    <t xml:space="preserve">i. Fedral Grant </t>
  </si>
  <si>
    <t>ii. Provincial Grant</t>
  </si>
  <si>
    <t>iii. Own Resources</t>
  </si>
  <si>
    <t>a. Payment Account</t>
  </si>
  <si>
    <t>b. Pension Investments</t>
  </si>
  <si>
    <t xml:space="preserve">       (i)  Pension Fund </t>
  </si>
  <si>
    <t>i. Fedral PSDP</t>
  </si>
  <si>
    <t>ii. Provincial ADP</t>
  </si>
  <si>
    <t>iii.University Development Fund</t>
  </si>
  <si>
    <t>Investments (other then Pension Fund)</t>
  </si>
  <si>
    <t>[Regular Fee Structure]</t>
  </si>
  <si>
    <t>[Self-Finance Fee Structure]</t>
  </si>
  <si>
    <t>Total Enrollment</t>
  </si>
  <si>
    <t>A0124411</t>
  </si>
  <si>
    <t>Adhoc.R Allowance 2019 - 5%</t>
  </si>
  <si>
    <t xml:space="preserve">Total </t>
  </si>
  <si>
    <t>Pakistan Qualification Framework</t>
  </si>
  <si>
    <t>PQF</t>
  </si>
  <si>
    <t>Programs-wise Active Enrollment - FY 2020-21</t>
  </si>
  <si>
    <t>Director QEC</t>
  </si>
  <si>
    <t>Treasurer / Director Finance  / Director</t>
  </si>
  <si>
    <t>Categorization</t>
  </si>
  <si>
    <t>Arts &amp; Humanitarian</t>
  </si>
  <si>
    <t>Business and Technical Studies</t>
  </si>
  <si>
    <t>Agriculture and Natural Sciences</t>
  </si>
  <si>
    <t>Medical and Engineering</t>
  </si>
  <si>
    <t>Social Sciences, Education, Linguistics, Humanities, History</t>
  </si>
  <si>
    <t>Business &amp; Administrative Studies, Law, Creative Art &amp; Design</t>
  </si>
  <si>
    <t>Biology / Physical Sciences, Mathematics, Computer Sciences / Information Technology, Veterinary Sciences &amp; Agriculture</t>
  </si>
  <si>
    <t>Engineering, Technology, Medical &amp; Dentistry</t>
  </si>
  <si>
    <t>Major Subjects</t>
  </si>
  <si>
    <t>American Studies</t>
  </si>
  <si>
    <t>Accounting</t>
  </si>
  <si>
    <t>Accident &amp; Emergency</t>
  </si>
  <si>
    <t>Accounting &amp; Finance</t>
  </si>
  <si>
    <t>Actuarial Science</t>
  </si>
  <si>
    <t>Animal &amp; Veterinary Sciences</t>
  </si>
  <si>
    <t>Anesthesia</t>
  </si>
  <si>
    <t>Banking &amp; Finance</t>
  </si>
  <si>
    <t>Astronomy</t>
  </si>
  <si>
    <t>Bachelor of Arts</t>
  </si>
  <si>
    <t>Business &amp; Management</t>
  </si>
  <si>
    <t>Architecture</t>
  </si>
  <si>
    <t>Behavioral Sciences</t>
  </si>
  <si>
    <t>Communication</t>
  </si>
  <si>
    <t>Audiology</t>
  </si>
  <si>
    <t>Automation</t>
  </si>
  <si>
    <t>Bravhi</t>
  </si>
  <si>
    <t>B-Tech</t>
  </si>
  <si>
    <t>Burn Surgery</t>
  </si>
  <si>
    <t>Counseling</t>
  </si>
  <si>
    <t>Climate Change</t>
  </si>
  <si>
    <t>Cultural Studies</t>
  </si>
  <si>
    <t>Fashion &amp; Design</t>
  </si>
  <si>
    <t>Defense</t>
  </si>
  <si>
    <t>Film &amp; TV</t>
  </si>
  <si>
    <t>Computer Sciences</t>
  </si>
  <si>
    <t>Dermatology</t>
  </si>
  <si>
    <t>Finance</t>
  </si>
  <si>
    <t>Data Management</t>
  </si>
  <si>
    <t>Human Resource Management</t>
  </si>
  <si>
    <t>Electronic Engineering</t>
  </si>
  <si>
    <t>law</t>
  </si>
  <si>
    <t>Environmental Management</t>
  </si>
  <si>
    <t>Energy &amp; Engineering</t>
  </si>
  <si>
    <t>Environmental Sciences</t>
  </si>
  <si>
    <t>Marketing</t>
  </si>
  <si>
    <t>Fisheries</t>
  </si>
  <si>
    <t>Genetics</t>
  </si>
  <si>
    <t>Performance Management</t>
  </si>
  <si>
    <t>Forensic Science</t>
  </si>
  <si>
    <t>Gynecology</t>
  </si>
  <si>
    <t>Product &amp; Industrial Design</t>
  </si>
  <si>
    <t>Health Sciences</t>
  </si>
  <si>
    <t>Hydrology</t>
  </si>
  <si>
    <t>Project Management</t>
  </si>
  <si>
    <t>Industrial Management</t>
  </si>
  <si>
    <t>Iqbal Studies</t>
  </si>
  <si>
    <t>Inorganic Chemistry</t>
  </si>
  <si>
    <t>Manufacturing Engineering</t>
  </si>
  <si>
    <t>Islamite</t>
  </si>
  <si>
    <t>Research &amp; Evaluation</t>
  </si>
  <si>
    <t>Live Stock</t>
  </si>
  <si>
    <t>Material Engineering</t>
  </si>
  <si>
    <t>Marine Biology</t>
  </si>
  <si>
    <t>Kashmir Studies</t>
  </si>
  <si>
    <t>Strategic Studies</t>
  </si>
  <si>
    <t>Medical Sciences</t>
  </si>
  <si>
    <t>Languages</t>
  </si>
  <si>
    <t>Supply Chain Management</t>
  </si>
  <si>
    <t>Meteorology</t>
  </si>
  <si>
    <t>Medicine &amp; Surgery</t>
  </si>
  <si>
    <t>Total Quality Management</t>
  </si>
  <si>
    <t>Metallurgy</t>
  </si>
  <si>
    <t>Music</t>
  </si>
  <si>
    <t>Visual Communication Design</t>
  </si>
  <si>
    <t>Nano Technology &amp; Engineering</t>
  </si>
  <si>
    <t>Natural Sciences</t>
  </si>
  <si>
    <t>Petrochemical</t>
  </si>
  <si>
    <t>Plant Sciences</t>
  </si>
  <si>
    <t>Petroleum</t>
  </si>
  <si>
    <t>Population &amp; Development</t>
  </si>
  <si>
    <t>Poultry</t>
  </si>
  <si>
    <t>Radiation Physics</t>
  </si>
  <si>
    <t>Public Policy</t>
  </si>
  <si>
    <t>Radiology</t>
  </si>
  <si>
    <t>Science &amp; Technology</t>
  </si>
  <si>
    <t>Physical Therapy</t>
  </si>
  <si>
    <t>Quran &amp; Sunnah</t>
  </si>
  <si>
    <t>Physiotherapy</t>
  </si>
  <si>
    <t>Quran &amp; Tafseer</t>
  </si>
  <si>
    <t>Seed Science &amp; Technology</t>
  </si>
  <si>
    <t>Plastic Surgery</t>
  </si>
  <si>
    <t>Regional Studies</t>
  </si>
  <si>
    <t>Sensing &amp; Geoinfo Computer Sciences</t>
  </si>
  <si>
    <t>Power Engineering</t>
  </si>
  <si>
    <t>Religion</t>
  </si>
  <si>
    <t>Soil &amp; Environmental Sciences</t>
  </si>
  <si>
    <t>Prosthetics</t>
  </si>
  <si>
    <t>Psychiatry</t>
  </si>
  <si>
    <t>Space and Planetry Astrophysics</t>
  </si>
  <si>
    <t>Public Health</t>
  </si>
  <si>
    <t>Pulmonology Medical Sciences</t>
  </si>
  <si>
    <t>Shariah Law</t>
  </si>
  <si>
    <t>Sustainable Environmental Design</t>
  </si>
  <si>
    <t>Renal Dialysis</t>
  </si>
  <si>
    <t>Theriogenology Veterinary Medicine</t>
  </si>
  <si>
    <t>Rheumatology Medical Sciences</t>
  </si>
  <si>
    <t>Thermal Energy Engineering</t>
  </si>
  <si>
    <t>Robotics</t>
  </si>
  <si>
    <t>Social Studies</t>
  </si>
  <si>
    <t>Veterinary &amp; Animal Sciences</t>
  </si>
  <si>
    <t>South Asia Studies</t>
  </si>
  <si>
    <t>Veterinary Medicine</t>
  </si>
  <si>
    <t>Surgery</t>
  </si>
  <si>
    <t>Sports Science</t>
  </si>
  <si>
    <t>Veterinary Microbiology</t>
  </si>
  <si>
    <t>Surgical Technology</t>
  </si>
  <si>
    <t>Studio Practice</t>
  </si>
  <si>
    <t>Veterinary Parasitology</t>
  </si>
  <si>
    <t>System Engineering</t>
  </si>
  <si>
    <t>Teacher Education</t>
  </si>
  <si>
    <t>Veterinary Pathology</t>
  </si>
  <si>
    <t>TB &amp; Chest Medicine</t>
  </si>
  <si>
    <t>Television</t>
  </si>
  <si>
    <t>Veterinary Pharmacology</t>
  </si>
  <si>
    <t>Technology</t>
  </si>
  <si>
    <t>Television Production</t>
  </si>
  <si>
    <t>Veterinary Physiology &amp; Biochemistry</t>
  </si>
  <si>
    <t>Telecommunication Engineering</t>
  </si>
  <si>
    <t>Tourism</t>
  </si>
  <si>
    <t>Veterinary Surgery</t>
  </si>
  <si>
    <t>Telemedicine &amp; E Health Systems</t>
  </si>
  <si>
    <t>Tunneling and Underground Excavation</t>
  </si>
  <si>
    <t>Water &amp; Resource</t>
  </si>
  <si>
    <t>Textile</t>
  </si>
  <si>
    <t>Turkish</t>
  </si>
  <si>
    <t>Water Resource Management</t>
  </si>
  <si>
    <t>Textile &amp; Apparel Merchandizing</t>
  </si>
  <si>
    <t>Urban and Regional Planning</t>
  </si>
  <si>
    <t>Water Sanitation &amp; Health Sciences</t>
  </si>
  <si>
    <t>Textile &amp; Fashion Design</t>
  </si>
  <si>
    <t>Urdu</t>
  </si>
  <si>
    <t>Web Designing</t>
  </si>
  <si>
    <t>Usool e Deen</t>
  </si>
  <si>
    <t>Textile Management</t>
  </si>
  <si>
    <t>Wildlife and Ecology</t>
  </si>
  <si>
    <t>Wildlife Management</t>
  </si>
  <si>
    <t>Thoracic Surgery</t>
  </si>
  <si>
    <t>World Religion</t>
  </si>
  <si>
    <t>Tuberculosis and Chest Diseases</t>
  </si>
  <si>
    <t>Urology</t>
  </si>
  <si>
    <t>Vitreo Retina</t>
  </si>
  <si>
    <t>Institution's Key Peformance Indicators for 3 Years (2019 to 2022)</t>
  </si>
  <si>
    <t>Undergraduate Studies  [PQF Level 5 and 6]</t>
  </si>
  <si>
    <r>
      <t xml:space="preserve">Total Enrollment
</t>
    </r>
    <r>
      <rPr>
        <sz val="10"/>
        <color rgb="FF002060"/>
        <rFont val="Calibri"/>
        <family val="2"/>
        <scheme val="minor"/>
      </rPr>
      <t>[Numbers]</t>
    </r>
  </si>
  <si>
    <r>
      <t xml:space="preserve">Annual Income
</t>
    </r>
    <r>
      <rPr>
        <sz val="10"/>
        <color rgb="FFC00000"/>
        <rFont val="Calibri"/>
        <family val="2"/>
        <scheme val="minor"/>
      </rPr>
      <t>[Millions]</t>
    </r>
  </si>
  <si>
    <t>Group</t>
  </si>
  <si>
    <t>PKR Million</t>
  </si>
  <si>
    <r>
      <rPr>
        <b/>
        <sz val="24"/>
        <color theme="1"/>
        <rFont val="Calibri"/>
        <family val="2"/>
        <scheme val="minor"/>
      </rPr>
      <t>Subject List</t>
    </r>
    <r>
      <rPr>
        <b/>
        <sz val="18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>for Proforma 107 (a,b,c,d)</t>
    </r>
  </si>
  <si>
    <r>
      <rPr>
        <b/>
        <sz val="11.5"/>
        <color rgb="FF000000"/>
        <rFont val="Garamond"/>
        <family val="1"/>
      </rPr>
      <t xml:space="preserve">a. </t>
    </r>
    <r>
      <rPr>
        <sz val="11.5"/>
        <color rgb="FF000000"/>
        <rFont val="Garamond"/>
        <family val="1"/>
      </rPr>
      <t>Under Graduate Studies [PQF Leve 5 and 6]</t>
    </r>
  </si>
  <si>
    <t>Program-wise Fee Structure  - Annual basis</t>
  </si>
  <si>
    <r>
      <rPr>
        <b/>
        <sz val="11.5"/>
        <color rgb="FF000000"/>
        <rFont val="Garamond"/>
        <family val="1"/>
      </rPr>
      <t>b.</t>
    </r>
    <r>
      <rPr>
        <sz val="11.5"/>
        <color rgb="FF000000"/>
        <rFont val="Garamond"/>
        <family val="1"/>
      </rPr>
      <t xml:space="preserve">  Graduate Studies [PQF Leve 7] </t>
    </r>
    <r>
      <rPr>
        <b/>
        <sz val="11.5"/>
        <color theme="9" tint="-0.249977111117893"/>
        <rFont val="Garamond"/>
        <family val="1"/>
      </rPr>
      <t>MS / M.Phil</t>
    </r>
  </si>
  <si>
    <t>Program-wise Fee Structure  - Annual Basis</t>
  </si>
  <si>
    <t>Total Amount</t>
  </si>
  <si>
    <t>Index  -   Proformas for Budget Proposal (Next FY 2021-22)</t>
  </si>
  <si>
    <t>Academic Programs and Targeted  Enrollment - 2021-22
[Enrolled under Regular &amp; Self Finance Fee Structure]</t>
  </si>
  <si>
    <t>Annual Income from Projected Enrollment in FY 2021-22 [Enrolled under Regular &amp; Self Finance Fee Structure]</t>
  </si>
  <si>
    <t>Nominal Roll- Detail of Pay &amp; Allowances of Faculty, Officers and Staff for next FY 2021-22 (Estimated)</t>
  </si>
  <si>
    <t>Projected in FY 2021-22</t>
  </si>
  <si>
    <t>2021-22
Budget Estimates</t>
  </si>
  <si>
    <t>Planned Fees for
 next Fy 2021-22</t>
  </si>
  <si>
    <t>Programs-wise Active Enrollment - FY 2021-22</t>
  </si>
  <si>
    <t>Projected Student Enrolment (2021-22)</t>
  </si>
  <si>
    <t xml:space="preserve"> Targeted  for 
next FY 2021-22</t>
  </si>
  <si>
    <t>Academic Programs and Existing  Enrolment - 2020-21
[Enrolled under Regular &amp; Self Finance Fee Structure]</t>
  </si>
  <si>
    <t>Annual Income from Existing Students - 2020-21
[Enrolled under Regular &amp; Self Finance Fee Structure]</t>
  </si>
  <si>
    <t>Detail of Pay &amp; Allowances of Faculty, Officers and Staff for current FY 2020-21 (Revised)</t>
  </si>
  <si>
    <t>Revised Estimates FY 2020-21 &amp; Budget Estimates FY 2021-22</t>
  </si>
  <si>
    <t>CFY 2020-21</t>
  </si>
  <si>
    <t>Status for CFY 2020-21</t>
  </si>
  <si>
    <t xml:space="preserve">2020-21 </t>
  </si>
  <si>
    <t>Total Enrollment (2020-21):</t>
  </si>
  <si>
    <t>PhD Faculty (2020-21):</t>
  </si>
  <si>
    <t>Existing  Fy 2020-21</t>
  </si>
  <si>
    <t>Existing Student Enrolment (2020-21)</t>
  </si>
  <si>
    <t>Annual Income from Existing Enrollment - 2020-21</t>
  </si>
  <si>
    <t>Current FY
 2020-21</t>
  </si>
  <si>
    <t>Consolidated Faculty Strength- Sanctioned, Filled, &amp; Vacant Posts
 for next FY 2021-22, CFY 2020-21, and last FY 2019-20</t>
  </si>
  <si>
    <t>Administrative Officers / Staff Strength - Sanctioned, Filled, &amp; Vacant Posts for FYs 2021-22, 2020-21, and  last FY 2019-20</t>
  </si>
  <si>
    <t>Last FY 
2019-20</t>
  </si>
  <si>
    <t>Target Achieved in 2019-20</t>
  </si>
  <si>
    <t xml:space="preserve"> 2019-20 
Actual</t>
  </si>
  <si>
    <t>During last Fy 2019-20</t>
  </si>
  <si>
    <t>Financial Year 2019-20</t>
  </si>
  <si>
    <t>Opening Balance
[1st July, 2019]</t>
  </si>
  <si>
    <t>Closing Balance 
[30 June, 2020]</t>
  </si>
  <si>
    <r>
      <t xml:space="preserve">Held in 2020
</t>
    </r>
    <r>
      <rPr>
        <sz val="10"/>
        <rFont val="Arial"/>
        <family val="2"/>
      </rPr>
      <t>[Jan-Dec]</t>
    </r>
  </si>
  <si>
    <t>Base line Status in 2018-19</t>
  </si>
  <si>
    <t>Research Projects - Research Funding and - Research Publications 
from University Faculty - Department-wise 
during  the Year 2019</t>
  </si>
  <si>
    <t>Research Projects, Funding and Publications from University Faculty - Department-wise during  2018 and 2019</t>
  </si>
  <si>
    <t>2018-19</t>
  </si>
  <si>
    <t xml:space="preserve">2019-20 </t>
  </si>
  <si>
    <t>2022-23</t>
  </si>
  <si>
    <r>
      <t xml:space="preserve">Incumbancy Status during 2019
</t>
    </r>
    <r>
      <rPr>
        <sz val="10"/>
        <color rgb="FFFF0000"/>
        <rFont val="Arial"/>
        <family val="2"/>
      </rPr>
      <t>(January to  December)</t>
    </r>
  </si>
  <si>
    <r>
      <t>Incumbancy Status during 2020</t>
    </r>
    <r>
      <rPr>
        <b/>
        <sz val="10"/>
        <color rgb="FFFF0000"/>
        <rFont val="Arial"/>
        <family val="2"/>
      </rPr>
      <t xml:space="preserve">
</t>
    </r>
    <r>
      <rPr>
        <sz val="10"/>
        <color rgb="FFFF0000"/>
        <rFont val="Arial"/>
        <family val="2"/>
      </rPr>
      <t>(January to  December)</t>
    </r>
  </si>
  <si>
    <t xml:space="preserve"> Key Performance Indicators (KPIs) of the University / Institution
and Targets for 3 Years - 2020-21 to 2022-23</t>
  </si>
  <si>
    <t>C02818401</t>
  </si>
  <si>
    <t>C02818402</t>
  </si>
  <si>
    <t>C02818403</t>
  </si>
  <si>
    <t>Receipts of Guest House</t>
  </si>
  <si>
    <t>Receipts of Bara Gali Campus</t>
  </si>
  <si>
    <t>Receipts of House Rent</t>
  </si>
  <si>
    <t>C02818404</t>
  </si>
  <si>
    <t>C02818701</t>
  </si>
  <si>
    <t>C02818702</t>
  </si>
  <si>
    <t>C02818703</t>
  </si>
  <si>
    <t>C02818704</t>
  </si>
  <si>
    <t>Electricity Charges</t>
  </si>
  <si>
    <t>Telephone Charges</t>
  </si>
  <si>
    <t>Water Charges</t>
  </si>
  <si>
    <t>C1601-01</t>
  </si>
  <si>
    <t>Recovery of House Building Advance etc</t>
  </si>
  <si>
    <t>House Requisition</t>
  </si>
  <si>
    <t>House Subsidy</t>
  </si>
  <si>
    <t>A03401</t>
  </si>
  <si>
    <t>Others (Student Societies)</t>
  </si>
  <si>
    <t>Unforeseen Expenditure </t>
  </si>
  <si>
    <t>Contingencies</t>
  </si>
  <si>
    <t>Consumable</t>
  </si>
  <si>
    <t>A0397009</t>
  </si>
  <si>
    <t>A0397010</t>
  </si>
  <si>
    <t>A0397011</t>
  </si>
  <si>
    <t>A0397012</t>
  </si>
  <si>
    <t>A0397013</t>
  </si>
  <si>
    <t>A0397014</t>
  </si>
  <si>
    <t>A0397015</t>
  </si>
  <si>
    <t>viii. Articlcs - Initiatives for Promotion of Research</t>
  </si>
  <si>
    <t>Payment on Account of Self-Support Scheme</t>
  </si>
  <si>
    <t>Plants and Flowerposts</t>
  </si>
  <si>
    <t>Remuneration Tutors/Resource Person Distance Education</t>
  </si>
  <si>
    <t>Others - Repair (Bara Gali Campus)</t>
  </si>
  <si>
    <t>Need Based Scholarships (HEC)</t>
  </si>
  <si>
    <t>Need Based Scholarships (University)</t>
  </si>
  <si>
    <t>A0320404</t>
  </si>
  <si>
    <t>Safe &amp; Smart University</t>
  </si>
  <si>
    <t>Balances brought forward</t>
  </si>
  <si>
    <t>Cumulative Surplus / Deficit</t>
  </si>
  <si>
    <t>Receipts</t>
  </si>
  <si>
    <t>2</t>
  </si>
  <si>
    <t>Expenditure</t>
  </si>
  <si>
    <t>Total (Deficit) with School</t>
  </si>
  <si>
    <t>Name of the University:  UNIVERSITY OF PESHAWAR (SCHOOL BUDGET)</t>
  </si>
  <si>
    <t>Tuition Fees - Regular Fee Structure UPS</t>
  </si>
  <si>
    <t>Tuition Fees - Regular Fee Structure UMS</t>
  </si>
  <si>
    <t>C028184001</t>
  </si>
  <si>
    <t>C028184002</t>
  </si>
  <si>
    <t>C028184003</t>
  </si>
  <si>
    <t>Profit on UOP Accounts</t>
  </si>
  <si>
    <t>Electrcity Charges</t>
  </si>
  <si>
    <t>C01601-04</t>
  </si>
  <si>
    <t>Recovery of House Building Advance etc;</t>
  </si>
  <si>
    <t>Contribution from Class III &amp; IV Empolyees UOP</t>
  </si>
  <si>
    <t>Adhoc.R Allowance 2010 to 2015</t>
  </si>
  <si>
    <t>Overtime Allowance </t>
  </si>
  <si>
    <t>A01279</t>
  </si>
  <si>
    <t>Extra Duty Allowance (Sunday Allowance 20% Extra Duty Allowance</t>
  </si>
  <si>
    <t> vi. Remuneration to Thesis Supervisers &amp; Examiner</t>
  </si>
  <si>
    <t xml:space="preserve"> viii. Payment for Publication of Research
Articlcs - Initiatives for Promotion of Research</t>
  </si>
  <si>
    <t>A03970010</t>
  </si>
  <si>
    <t xml:space="preserve"> ix. Remuneration to Tutors/Resource Person Distance Education</t>
  </si>
  <si>
    <t>A03970011</t>
  </si>
  <si>
    <t xml:space="preserve"> x.Payment on Account of Self-Support
Scheme</t>
  </si>
  <si>
    <t>A03970012</t>
  </si>
  <si>
    <t xml:space="preserve"> xi Plants and Flowerposts etc;</t>
  </si>
  <si>
    <t>A0610105</t>
  </si>
  <si>
    <t>Conensatory Allowance</t>
  </si>
  <si>
    <t>Examination Fees - Private / Migration Fee</t>
  </si>
  <si>
    <t>Other Occupancey Cost (Official Guest in Guest House</t>
  </si>
  <si>
    <t>Other Occupancey Cost (Expenditure in Bara Gali Campus)</t>
  </si>
  <si>
    <t>English and Applied Linguistcs</t>
  </si>
  <si>
    <t>Arts &amp; Design</t>
  </si>
  <si>
    <t>Islamiyat</t>
  </si>
  <si>
    <t>Econimics</t>
  </si>
  <si>
    <t>Econimics (Dev. Stud.)</t>
  </si>
  <si>
    <t>LLB (5 Year)</t>
  </si>
  <si>
    <t>IER</t>
  </si>
  <si>
    <t>Social Work</t>
  </si>
  <si>
    <t>Peace &amp; Conflict Studies</t>
  </si>
  <si>
    <t>Social Anthrology</t>
  </si>
  <si>
    <t>Computer Science</t>
  </si>
  <si>
    <t>Electronics</t>
  </si>
  <si>
    <t xml:space="preserve">IMS </t>
  </si>
  <si>
    <t>QACC</t>
  </si>
  <si>
    <t>Journalism &amp; Mass Communication</t>
  </si>
  <si>
    <t>Library Science</t>
  </si>
  <si>
    <t>Botany</t>
  </si>
  <si>
    <t>Bio-Techology</t>
  </si>
  <si>
    <t>Disaster Preparedness &amp; Mang.</t>
  </si>
  <si>
    <t>Environment Sciences</t>
  </si>
  <si>
    <t>GIS/RS</t>
  </si>
  <si>
    <t>Phamary</t>
  </si>
  <si>
    <t>Urban &amp; Regional Planning</t>
  </si>
  <si>
    <t>Senate</t>
  </si>
  <si>
    <t>Two</t>
  </si>
  <si>
    <t>Syndicate</t>
  </si>
  <si>
    <t>Four</t>
  </si>
  <si>
    <t>Academic Council</t>
  </si>
  <si>
    <t>F&amp;PC</t>
  </si>
  <si>
    <t>Not Defined</t>
  </si>
  <si>
    <t>Selection Board</t>
  </si>
  <si>
    <t>NBP AC # 16100-2 Examination</t>
  </si>
  <si>
    <t>NBP AC # 6290-3 Main Account</t>
  </si>
  <si>
    <t>UBL AC # 339-8 Main Account</t>
  </si>
  <si>
    <t>FBL AC # 0250007900224088</t>
  </si>
  <si>
    <t>J.C.W Economics</t>
  </si>
  <si>
    <t>J.C.W Chemistry</t>
  </si>
  <si>
    <t>UNIVERSITY OF PESHAWAR</t>
  </si>
  <si>
    <t>MA</t>
  </si>
  <si>
    <t>Psychology (DSLT)</t>
  </si>
  <si>
    <t>Psychology (PDCP)</t>
  </si>
  <si>
    <t>MSC</t>
  </si>
  <si>
    <t>B.Edu.</t>
  </si>
  <si>
    <t xml:space="preserve">BS Undergraduate </t>
  </si>
  <si>
    <t>Master Level</t>
  </si>
  <si>
    <t>PhD/Mphil/MS
PROGRAMS -
Disciplines</t>
  </si>
  <si>
    <t>Anthroplogy</t>
  </si>
  <si>
    <t>Art/Humanities</t>
  </si>
  <si>
    <t>Disasters Management</t>
  </si>
  <si>
    <t>Master of Arts in English</t>
  </si>
  <si>
    <t>Pharm-D</t>
  </si>
  <si>
    <t>5-years</t>
  </si>
  <si>
    <t>4 Years</t>
  </si>
  <si>
    <t>Bachelor of Homoeopathic Medical System</t>
  </si>
  <si>
    <t>Result Awaited</t>
  </si>
  <si>
    <t>Master of Public Health (MPH)</t>
  </si>
  <si>
    <t>Petroleum Techology</t>
  </si>
  <si>
    <t>Business Administration</t>
  </si>
  <si>
    <t>BS in Commerce</t>
  </si>
  <si>
    <t>BS in Computer Science</t>
  </si>
  <si>
    <t>Business Administration (Honours)</t>
  </si>
  <si>
    <t>Bachelor of Commerce</t>
  </si>
  <si>
    <t>Business Administration One &amp; half year</t>
  </si>
  <si>
    <t>one &amp; half year</t>
  </si>
  <si>
    <t>Business Administration (Three &amp; Half year)</t>
  </si>
  <si>
    <t>3 &amp; half year</t>
  </si>
  <si>
    <t>1.5 year</t>
  </si>
  <si>
    <t>3.5 years</t>
  </si>
  <si>
    <t>Master of Commerce one year</t>
  </si>
  <si>
    <t>Master of Commerce two year</t>
  </si>
  <si>
    <t>2 year</t>
  </si>
  <si>
    <t>Bachelor Studies in Law</t>
  </si>
  <si>
    <t>Bachelor of Laws</t>
  </si>
  <si>
    <t>5 years</t>
  </si>
  <si>
    <t>3 years</t>
  </si>
  <si>
    <t>Art/ Humanities/ Social Science</t>
  </si>
  <si>
    <t>Bachelor of Education</t>
  </si>
  <si>
    <t>B.Ed (One and half year)</t>
  </si>
  <si>
    <t>Associate Degree in Education</t>
  </si>
  <si>
    <t>Master of Education</t>
  </si>
  <si>
    <t>BS in Urdu</t>
  </si>
  <si>
    <t>BS in English</t>
  </si>
  <si>
    <t>BS in Islamiyat</t>
  </si>
  <si>
    <t>BS in Pashto</t>
  </si>
  <si>
    <t>BS in Pakistan Studies</t>
  </si>
  <si>
    <t>BS in History</t>
  </si>
  <si>
    <t>BS in Home Economics</t>
  </si>
  <si>
    <t>BS in Political Science</t>
  </si>
  <si>
    <t>BS in Forestry</t>
  </si>
  <si>
    <t>BS in Geography</t>
  </si>
  <si>
    <t>urdu</t>
  </si>
  <si>
    <t>I.R</t>
  </si>
  <si>
    <t>Pol. Science</t>
  </si>
  <si>
    <t>Result
Awaited</t>
  </si>
  <si>
    <t>ma</t>
  </si>
  <si>
    <t>llb</t>
  </si>
  <si>
    <t>msc</t>
  </si>
  <si>
    <t>MA/MSC</t>
  </si>
  <si>
    <t>Pashto Academy</t>
  </si>
  <si>
    <t>NCE in Physical Chemistry</t>
  </si>
  <si>
    <t>Institute of Chemical Sciences</t>
  </si>
  <si>
    <t>Establishment of Incubation Centre</t>
  </si>
  <si>
    <t>In Process</t>
  </si>
  <si>
    <t>Established</t>
  </si>
  <si>
    <t>Functionalized</t>
  </si>
  <si>
    <t>ORIC</t>
  </si>
  <si>
    <t>Tranings /Seminar / Workshops</t>
  </si>
  <si>
    <t>ORIC/FACULTY</t>
  </si>
  <si>
    <t>Number of funded Research Project</t>
  </si>
  <si>
    <t>Number of Patent Applications Filed</t>
  </si>
  <si>
    <t>Faculty/ORIC</t>
  </si>
  <si>
    <t>ORIC/FACULTY
Researchers</t>
  </si>
  <si>
    <t>Number of Linkages with Institutes/Industries etc;</t>
  </si>
  <si>
    <t>The above research projects are of 2017-18, however funds were issued in 2019-20</t>
  </si>
  <si>
    <t>Fuel</t>
  </si>
  <si>
    <t>Teaching</t>
  </si>
  <si>
    <t>Non-Teaching</t>
  </si>
  <si>
    <t>Life and Environmental Sciences</t>
  </si>
  <si>
    <t>Management and Information Sciences</t>
  </si>
  <si>
    <t>Numerical and Physical Sciences</t>
  </si>
  <si>
    <t>Oriental and Islamic Studies</t>
  </si>
  <si>
    <t>Jinnah College for Women</t>
  </si>
  <si>
    <t>LLB (3 Year)</t>
  </si>
  <si>
    <t>MPA</t>
  </si>
  <si>
    <t>Fund for HEC Need Based Scholarship</t>
  </si>
  <si>
    <t>2019-20</t>
  </si>
  <si>
    <t>i.</t>
  </si>
  <si>
    <t xml:space="preserve">Pension (Employees Retirement Benefits) </t>
  </si>
  <si>
    <t>Other Non Salary Expenses / Other Charges</t>
  </si>
  <si>
    <t>3</t>
  </si>
  <si>
    <t>Deficit (1+2-3)</t>
  </si>
  <si>
    <t>Plant Biodiversity</t>
  </si>
  <si>
    <t>Safe &amp; Smart University / PERN</t>
  </si>
  <si>
    <t>j.</t>
  </si>
  <si>
    <t>k.</t>
  </si>
  <si>
    <t>BS</t>
  </si>
  <si>
    <t>MS</t>
  </si>
  <si>
    <t>M.Phil / Ph.D</t>
  </si>
  <si>
    <t>Faculty of Arts and Humanities</t>
  </si>
  <si>
    <t>Department of Archaeology</t>
  </si>
  <si>
    <t>Department of Anthropology</t>
  </si>
  <si>
    <t>Department of History</t>
  </si>
  <si>
    <t>Department of English and Applied Linguistics</t>
  </si>
  <si>
    <t>Department of Philosophy</t>
  </si>
  <si>
    <t>Department of Art &amp; Design</t>
  </si>
  <si>
    <t>Department of Islamiyat</t>
  </si>
  <si>
    <t>Department of Seerat Studies</t>
  </si>
  <si>
    <t>Department of Arabic</t>
  </si>
  <si>
    <t>Department of Pashto</t>
  </si>
  <si>
    <t>Department of Persian</t>
  </si>
  <si>
    <t>Department of Urdu</t>
  </si>
  <si>
    <t>Centre of Bio-Technology and Microbiology</t>
  </si>
  <si>
    <t>Department of Botany</t>
  </si>
  <si>
    <t>Department of Envrionmental Sciences</t>
  </si>
  <si>
    <t>Department of Geography</t>
  </si>
  <si>
    <t>Department of Urban and Regional Planning</t>
  </si>
  <si>
    <t>Department of Zoology</t>
  </si>
  <si>
    <t>Department of Geology</t>
  </si>
  <si>
    <t>Department of Pharmacy</t>
  </si>
  <si>
    <t>Centre of Disaster Preparedness and Management</t>
  </si>
  <si>
    <t>Centre of Plant Biodiversity</t>
  </si>
  <si>
    <t>Department of Journalism anad Mass Communication</t>
  </si>
  <si>
    <t>Quaid-e-Azam College of Commerce</t>
  </si>
  <si>
    <t>Department of Library and Information Sciences</t>
  </si>
  <si>
    <t>College of Home Economics</t>
  </si>
  <si>
    <t>Institute of Management Studies</t>
  </si>
  <si>
    <t>Faculty of Management and Information Sciences</t>
  </si>
  <si>
    <t>Faculty of Life and Environmental Sciences</t>
  </si>
  <si>
    <t>Faculty of Numerical and Physical Science</t>
  </si>
  <si>
    <t>Department of Computer Science</t>
  </si>
  <si>
    <t>Department of Physics</t>
  </si>
  <si>
    <t>Department of Electronics</t>
  </si>
  <si>
    <t>Department of  Mathematics</t>
  </si>
  <si>
    <t>Department of Statistics</t>
  </si>
  <si>
    <t>Faculty of Social Sciences</t>
  </si>
  <si>
    <t>Department of Economics</t>
  </si>
  <si>
    <t>Institute of Education and Research</t>
  </si>
  <si>
    <t>Department of International Relations</t>
  </si>
  <si>
    <t>Department of Political Science</t>
  </si>
  <si>
    <t>Law College</t>
  </si>
  <si>
    <t>Department of Psychology</t>
  </si>
  <si>
    <t>Institute of Peace and Conflict Studies</t>
  </si>
  <si>
    <t>Department of Sociology</t>
  </si>
  <si>
    <t>Department of Social Work</t>
  </si>
  <si>
    <t>Department of Gender Studies</t>
  </si>
  <si>
    <t>Department of Regional Studies</t>
  </si>
  <si>
    <t>Department of Crminology</t>
  </si>
  <si>
    <t>MSc</t>
  </si>
  <si>
    <t>*Refund Cancellation of Admission fee</t>
  </si>
  <si>
    <t>C02818401a</t>
  </si>
  <si>
    <t>A0320405</t>
  </si>
  <si>
    <t>A0320406</t>
  </si>
  <si>
    <t>Digital Library</t>
  </si>
  <si>
    <t>Turn-It-In Charges</t>
  </si>
  <si>
    <t>HEC-107 C</t>
  </si>
  <si>
    <t>Annual Income from Projected Enrollment - 2021-22</t>
  </si>
  <si>
    <t>Projected Annual Fee Income from Students (2021-22)</t>
  </si>
  <si>
    <t>Financial Assistance/ Scholarships/Refunds</t>
  </si>
  <si>
    <t>Name of the University:                               University of Peshawar</t>
  </si>
  <si>
    <t>Receipts from Teacher's Community Centre</t>
  </si>
  <si>
    <t>Name of the University:            University of Peshawar</t>
  </si>
  <si>
    <t>Name of the University:                     University of Peshawar</t>
  </si>
  <si>
    <t>Name of the University:                                University of Peshawar</t>
  </si>
  <si>
    <t>Name of the University:                            University of Peshawar</t>
  </si>
  <si>
    <t>Name of the University: ____            University of Peshawar_______________________________________</t>
  </si>
  <si>
    <t>Name of the University:                    University of Peshawar</t>
  </si>
  <si>
    <t>Name of the University:                  University of Peshawar</t>
  </si>
  <si>
    <t>Name of the University:                       University of Peshawar</t>
  </si>
  <si>
    <t>Name of the University:                   University of Peshawar</t>
  </si>
  <si>
    <t>Name of University:                     University of Peshawar</t>
  </si>
  <si>
    <t>Name of University:                 University of Peshawar</t>
  </si>
  <si>
    <t xml:space="preserve">            University of Peshawar</t>
  </si>
  <si>
    <t>ECC</t>
  </si>
  <si>
    <t>Geomatics (GIS/RS)</t>
  </si>
  <si>
    <t>Faculty Appointment Criteria</t>
  </si>
  <si>
    <t>100 %</t>
  </si>
  <si>
    <t>DQE</t>
  </si>
  <si>
    <t>Statutes of the 
University</t>
  </si>
  <si>
    <t>Adoption of HEC Plagiarism Policy</t>
  </si>
  <si>
    <t>Documentation of Self Assessment Report 
at all programs level</t>
  </si>
  <si>
    <t>15 %</t>
  </si>
  <si>
    <t>25 %</t>
  </si>
  <si>
    <t>50 %</t>
  </si>
  <si>
    <t>75 %</t>
  </si>
  <si>
    <t>HEC</t>
  </si>
  <si>
    <t>Review of MS/MPhil/PhD Programs</t>
  </si>
  <si>
    <t>0 %</t>
  </si>
  <si>
    <t>Institutional Performance Evaluation</t>
  </si>
  <si>
    <t>Implementation of Quality Assurance 
Practices in Affiliated Colleges</t>
  </si>
  <si>
    <t>10 %</t>
  </si>
  <si>
    <t>Affiliation Section of 
the University</t>
  </si>
  <si>
    <t>HEC-107 (d)</t>
  </si>
  <si>
    <t>a. Bachellors/Masters</t>
  </si>
  <si>
    <t>Director Admissions</t>
  </si>
  <si>
    <t>Enrollment Data/Annual Report</t>
  </si>
  <si>
    <t>b. MS/Mphil</t>
  </si>
  <si>
    <t>c. PhD</t>
  </si>
  <si>
    <t>d. PGD(1 year &amp; 2 years duration only)</t>
  </si>
  <si>
    <t>Enrollment in Distance Education</t>
  </si>
  <si>
    <t>-</t>
  </si>
  <si>
    <t>Director Distance 
Education</t>
  </si>
  <si>
    <t>Students Financial Assistance/ 
Scholarship Awarded (Rs. Million)</t>
  </si>
  <si>
    <t>Budget</t>
  </si>
  <si>
    <t xml:space="preserve">Name of the University / Institution:________UNIVERSITY OF PESHAWAR ____________ </t>
  </si>
  <si>
    <t>Total Enrollment (2019-20):</t>
  </si>
  <si>
    <t>PhD Faculty (2019-20):</t>
  </si>
  <si>
    <t>Student Teacher Ratio</t>
  </si>
  <si>
    <t>1 : 24</t>
  </si>
  <si>
    <t>1 : 25</t>
  </si>
  <si>
    <t>1 : 28</t>
  </si>
  <si>
    <t>Registrar, Dean</t>
  </si>
  <si>
    <t>Annual Report</t>
  </si>
  <si>
    <t>Programmes Accreditation</t>
  </si>
  <si>
    <t>Registrar, Dean, HoDs</t>
  </si>
  <si>
    <t>No. of PhD in Faculty</t>
  </si>
  <si>
    <t>Improvement in Mechanism; No. 
Of workshops on implementation of updated regulations</t>
  </si>
  <si>
    <t>Registrar, Dean, CE, Dir, 
 CHRCD</t>
  </si>
  <si>
    <t>Increase Faculty with Highest Academic Qualification and Professional Skill</t>
  </si>
  <si>
    <t>No. of PhD Faculty</t>
  </si>
  <si>
    <t>Faculty</t>
  </si>
  <si>
    <t>To be established</t>
  </si>
  <si>
    <t>To be functionalized</t>
  </si>
  <si>
    <t>Project Director MP4/ ORIC</t>
  </si>
  <si>
    <t>Monitoring Report</t>
  </si>
  <si>
    <t>Number of Linkages with Industries</t>
  </si>
  <si>
    <t>Number of funded Research Projects</t>
  </si>
  <si>
    <t>Number of Patent application filed</t>
  </si>
  <si>
    <t>Allocation for faculty research</t>
  </si>
  <si>
    <t>Treasurer</t>
  </si>
  <si>
    <t>Earning through consultancy 
(in Million PKR)</t>
  </si>
  <si>
    <t>Treasurer/ORIC/Faculty</t>
  </si>
  <si>
    <t>Training / Seminar / Workshop</t>
  </si>
  <si>
    <t>Director P&amp;D</t>
  </si>
  <si>
    <t>Strenthening of Central Library 
through PC-1 (Amount in Million 
PKR per year</t>
  </si>
  <si>
    <t>Project Director MP4</t>
  </si>
  <si>
    <t>Strenthening of Advance Research 
Lab through PC-1 (amount in Million PKR per year)</t>
  </si>
  <si>
    <t>No. of Training for the HODs/ 
Sectional Heads</t>
  </si>
  <si>
    <t>Process Covered under ERP</t>
  </si>
  <si>
    <t>ERP 90%</t>
  </si>
  <si>
    <t>Implemented</t>
  </si>
  <si>
    <t>ERP Implementation Team</t>
  </si>
  <si>
    <t>ERP Report</t>
  </si>
  <si>
    <t>Process Covered under CMS</t>
  </si>
  <si>
    <t>CMS 65%</t>
  </si>
  <si>
    <t>CMS90%</t>
  </si>
  <si>
    <t>CMS 100%</t>
  </si>
  <si>
    <t>CMS Implementation Team</t>
  </si>
  <si>
    <t>CMS Report</t>
  </si>
  <si>
    <t>Earning Through Consultancy (Rs. In Million PKR)</t>
  </si>
  <si>
    <t>Director ORIC/Faculty</t>
  </si>
  <si>
    <t>Self Generated Income as 
percentage Total Resources</t>
  </si>
  <si>
    <t>Treasurer/HoDs</t>
  </si>
  <si>
    <t>i.   Pension as % age of Total Expenditure</t>
  </si>
  <si>
    <t>j.    Pension as %of other Expenditure</t>
  </si>
  <si>
    <t>Income from Collaborative Research - Others (ORIC)</t>
  </si>
  <si>
    <t>Dr. Yorid Ahan Zai</t>
  </si>
  <si>
    <t>VC</t>
  </si>
  <si>
    <t>Vacant</t>
  </si>
  <si>
    <t>Accting</t>
  </si>
  <si>
    <t>12 Months</t>
  </si>
  <si>
    <t>Ms. Aisha Salman</t>
  </si>
  <si>
    <t>Dr. Fazli Hadi</t>
  </si>
  <si>
    <t>One</t>
  </si>
  <si>
    <t>Three</t>
  </si>
  <si>
    <t>Nil</t>
  </si>
  <si>
    <t>Five</t>
  </si>
  <si>
    <t>Consolidated Faculty Strength- Sanctioned, Filled, &amp; Vacant Posts
 for next FY 2020-21, CFY 2019-20, and last FY 2018-19</t>
  </si>
  <si>
    <t>University of Peshawar</t>
  </si>
  <si>
    <t>Status during last FY 2018-19</t>
  </si>
  <si>
    <t>Administrative Officer / Staff Strength - Pay Scale-wise View 
for FYs 2020-21, 2019-20, and  2018-19</t>
  </si>
  <si>
    <t>Status during current FY 2019-20</t>
  </si>
  <si>
    <t>Planned for next FY 2020-21</t>
  </si>
  <si>
    <t>Name of  University / Institute:  UNIVERSITY OF PESHAWAR</t>
  </si>
  <si>
    <t>Spc</t>
  </si>
  <si>
    <t>Sc.</t>
  </si>
  <si>
    <t>Conv</t>
  </si>
  <si>
    <t>Char</t>
  </si>
  <si>
    <t>Teach</t>
  </si>
  <si>
    <t>Spc.</t>
  </si>
  <si>
    <t>Convy</t>
  </si>
  <si>
    <t>Arts / Humanities / Social Sciences Departments</t>
  </si>
  <si>
    <t>sub-total (Faculty)</t>
  </si>
  <si>
    <t>Detail of Pay &amp; Allowances of Faculty, Officers and Staff
(Budget Estimates 2020-21)</t>
  </si>
  <si>
    <t>Conveyance Allowance (Special)</t>
  </si>
  <si>
    <t>Fuel Charges Allowance</t>
  </si>
  <si>
    <r>
      <rPr>
        <b/>
        <sz val="10"/>
        <color rgb="FFFF0000"/>
        <rFont val="Arial"/>
        <family val="2"/>
      </rPr>
      <t>Planned</t>
    </r>
    <r>
      <rPr>
        <b/>
        <sz val="10"/>
        <rFont val="Arial"/>
        <family val="2"/>
      </rPr>
      <t xml:space="preserve"> for next FY 2021-22 </t>
    </r>
  </si>
  <si>
    <t>Status during current year 2020-21</t>
  </si>
  <si>
    <t>Status during last FY 2019-20</t>
  </si>
  <si>
    <t>Status during current FY 2020-21</t>
  </si>
  <si>
    <t>Planned for next FY 2021-22</t>
  </si>
  <si>
    <t>Detail of Pay &amp; Allowances of Faculty, Officers and Staff
(Revised Estimates 2020-21)</t>
  </si>
  <si>
    <t>Receipts of  House Rent</t>
  </si>
  <si>
    <t>Receipts from Investments</t>
  </si>
  <si>
    <t>Departmental Fund</t>
  </si>
  <si>
    <t>Turnitin Similarity Checking Software</t>
  </si>
  <si>
    <t>600, 000</t>
  </si>
  <si>
    <t>Participation in National Events (Workshops,Seminars, Conferences)</t>
  </si>
  <si>
    <t>Participation in International Evenets</t>
  </si>
  <si>
    <t>Online Software for collection of feedback (10 different types of surveys as required by HEC)</t>
  </si>
  <si>
    <t>Evaluation of Self Assessment Report</t>
  </si>
  <si>
    <t>Organization of National Events</t>
  </si>
  <si>
    <t>Organization of International Events</t>
  </si>
  <si>
    <t>Miscilneous</t>
  </si>
  <si>
    <t>Others Compensatory Allowance</t>
  </si>
  <si>
    <t xml:space="preserve">Department Wise Estimates of Expenditure </t>
  </si>
  <si>
    <t>S.No.</t>
  </si>
  <si>
    <t>Name of Department</t>
  </si>
  <si>
    <t>POL</t>
  </si>
  <si>
    <t>Stationary</t>
  </si>
  <si>
    <t>Printing and Publication</t>
  </si>
  <si>
    <t>Other Consum-ables</t>
  </si>
  <si>
    <t>Entertain-ment</t>
  </si>
  <si>
    <t>Repair - 
M &amp; E</t>
  </si>
  <si>
    <t>Contin-
gency</t>
  </si>
  <si>
    <t>A</t>
  </si>
  <si>
    <t>Faculty of Arts &amp; Humanities</t>
  </si>
  <si>
    <t>Art &amp; Design</t>
  </si>
  <si>
    <t>English and Applied Linguistics</t>
  </si>
  <si>
    <t>Hotel and Tourism Management</t>
  </si>
  <si>
    <t>B</t>
  </si>
  <si>
    <t>Faculty of Islamic and Oriental Studies</t>
  </si>
  <si>
    <t>C</t>
  </si>
  <si>
    <t>Faculty of Life and Environmental Science</t>
  </si>
  <si>
    <t xml:space="preserve">Centre of Bio-Technology and Microbiology </t>
  </si>
  <si>
    <t>Centre for Disaster Preparedness &amp; Management</t>
  </si>
  <si>
    <t>Centre for Plant Biodiversity</t>
  </si>
  <si>
    <t>D</t>
  </si>
  <si>
    <t>Journalism and Mass Communication</t>
  </si>
  <si>
    <t>Library and Information Science</t>
  </si>
  <si>
    <t>E</t>
  </si>
  <si>
    <t>Faculty of Numerical and Physical Sciences</t>
  </si>
  <si>
    <t>F</t>
  </si>
  <si>
    <t>Faculty of Social Science</t>
  </si>
  <si>
    <t>Social Anthropology</t>
  </si>
  <si>
    <t>G</t>
  </si>
  <si>
    <t>Research Labs</t>
  </si>
  <si>
    <t>Centralized Resource Lab</t>
  </si>
  <si>
    <t>MRL</t>
  </si>
  <si>
    <t>H</t>
  </si>
  <si>
    <t>Colleges</t>
  </si>
  <si>
    <t>University College for Boys</t>
  </si>
  <si>
    <t>I</t>
  </si>
  <si>
    <t>Schools</t>
  </si>
  <si>
    <t>University Public School</t>
  </si>
  <si>
    <t>University Model School</t>
  </si>
  <si>
    <t>J</t>
  </si>
  <si>
    <t>Museum</t>
  </si>
  <si>
    <t>SSAQ Museum</t>
  </si>
  <si>
    <t>Total ( A to J )</t>
  </si>
  <si>
    <t>K</t>
  </si>
  <si>
    <t>General Administration</t>
  </si>
  <si>
    <t>Extra Duty Allowance(Sunday Allowance
20% Extra duty Allowance</t>
  </si>
  <si>
    <t>Library Support Grant</t>
  </si>
  <si>
    <t>A0390501</t>
  </si>
  <si>
    <t>Library Expenses / Library Support Grant</t>
  </si>
  <si>
    <t>Chemicals / Glassware / Lab. Material</t>
  </si>
  <si>
    <t>Chemicals/ Glassware
Lab. Material</t>
  </si>
  <si>
    <t>* Impact of 10% increase in Salary</t>
  </si>
  <si>
    <t>* Impact of 7% increase in House Rent</t>
  </si>
  <si>
    <t xml:space="preserve">* Impact of 10% increase in Pension </t>
  </si>
  <si>
    <t>These Financial Implications are not included in the Budget for F.Y. 2021-22.</t>
  </si>
  <si>
    <t>* Impact of 20% increase in Salary (BPS 2-19)</t>
  </si>
  <si>
    <t>=</t>
  </si>
  <si>
    <t>Annexure-I</t>
  </si>
  <si>
    <t>A. Total Resources</t>
  </si>
  <si>
    <t>2021-22
(Budget Estimates)</t>
  </si>
  <si>
    <t>Own Sources</t>
  </si>
  <si>
    <t>Students Related Income</t>
  </si>
  <si>
    <t>Other Income</t>
  </si>
  <si>
    <t>B. Total Expenditure Break-up:</t>
  </si>
  <si>
    <t>Annexure-V</t>
  </si>
  <si>
    <t>Annexure-IV</t>
  </si>
  <si>
    <t>Annexure-II</t>
  </si>
  <si>
    <t>Annexure-III</t>
  </si>
  <si>
    <t>1.     Total Grants &amp; Donations</t>
  </si>
  <si>
    <t>(sub-total)</t>
  </si>
  <si>
    <t>3.  Receipts from Investments</t>
  </si>
  <si>
    <t>4.  Departmental Fund</t>
  </si>
  <si>
    <t xml:space="preserve"> Total  Own Resources (1 + 2 +3 + 4)</t>
  </si>
  <si>
    <r>
      <t xml:space="preserve">2 (i)    Students Related Income </t>
    </r>
    <r>
      <rPr>
        <b/>
        <i/>
        <sz val="11"/>
        <rFont val="Arial"/>
        <family val="2"/>
      </rPr>
      <t>(Annexure-II)</t>
    </r>
  </si>
  <si>
    <r>
      <t xml:space="preserve">2 (ii) Other Venues of Income </t>
    </r>
    <r>
      <rPr>
        <b/>
        <i/>
        <sz val="11"/>
        <color theme="3" tint="-0.249977111117893"/>
        <rFont val="Arial"/>
        <family val="2"/>
      </rPr>
      <t>(Annexure-III)</t>
    </r>
  </si>
  <si>
    <r>
      <t>5.    Total Establishment Charges [4 a to e ]</t>
    </r>
    <r>
      <rPr>
        <b/>
        <i/>
        <sz val="11"/>
        <rFont val="Arial"/>
        <family val="2"/>
      </rPr>
      <t xml:space="preserve"> (Annexure-IV)</t>
    </r>
  </si>
  <si>
    <r>
      <t xml:space="preserve">6.    Total Non Salary Expenses [4 f to h ] </t>
    </r>
    <r>
      <rPr>
        <b/>
        <i/>
        <sz val="11"/>
        <rFont val="Arial"/>
        <family val="2"/>
      </rPr>
      <t>(Annexure-V)</t>
    </r>
  </si>
  <si>
    <r>
      <t xml:space="preserve">School Budget </t>
    </r>
    <r>
      <rPr>
        <b/>
        <i/>
        <sz val="11"/>
        <color theme="1"/>
        <rFont val="Arial"/>
        <family val="2"/>
      </rPr>
      <t>(Annexure-VI)</t>
    </r>
  </si>
</sst>
</file>

<file path=xl/styles.xml><?xml version="1.0" encoding="utf-8"?>
<styleSheet xmlns="http://schemas.openxmlformats.org/spreadsheetml/2006/main">
  <numFmts count="2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#,##0.000"/>
    <numFmt numFmtId="167" formatCode="_(* #,##0.0_);_(* \(#,##0.0\);_(* &quot;-&quot;??_);_(@_)"/>
    <numFmt numFmtId="168" formatCode="0.0"/>
    <numFmt numFmtId="169" formatCode="0.00_)"/>
    <numFmt numFmtId="170" formatCode="#,##0\ [$€-1];[Red]\-#,##0\ [$€-1]"/>
    <numFmt numFmtId="171" formatCode="#,##0;[Red]#,##0"/>
    <numFmt numFmtId="172" formatCode="#,##0;\(#,##0\);&quot;-&quot;"/>
    <numFmt numFmtId="173" formatCode="#,##0.00;\(#,##0.00\);&quot;-&quot;"/>
    <numFmt numFmtId="174" formatCode="_(* #,##0.000_);_(* \(#,##0.000\);_(* &quot;-&quot;???_);_(@_)"/>
    <numFmt numFmtId="175" formatCode="_(* #,##0.00_);_(* \(#,##0.00\);_(* &quot;-&quot;_);_(@_)"/>
    <numFmt numFmtId="176" formatCode="_(* #,##0.0_);_(* \(#,##0.0\);_(* &quot;-&quot;_);_(@_)"/>
    <numFmt numFmtId="177" formatCode="_(* #,##0.000_);_(* \(#,##0.000\);_(* &quot;-&quot;_);_(@_)"/>
    <numFmt numFmtId="178" formatCode="_(* #,##0.00000_);_(* \(#,##0.00000\);_(* &quot;-&quot;??_);_(@_)"/>
    <numFmt numFmtId="179" formatCode="#,##0.0;\(#,##0.0\);&quot;-&quot;"/>
    <numFmt numFmtId="180" formatCode="0.00,,"/>
    <numFmt numFmtId="181" formatCode="0.000"/>
  </numFmts>
  <fonts count="18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u/>
      <sz val="12"/>
      <color indexed="10"/>
      <name val="Arial"/>
      <family val="2"/>
    </font>
    <font>
      <b/>
      <sz val="9"/>
      <color rgb="FF0070C0"/>
      <name val="Arial"/>
      <family val="2"/>
    </font>
    <font>
      <b/>
      <sz val="10"/>
      <color indexed="10"/>
      <name val="Arial"/>
      <family val="2"/>
    </font>
    <font>
      <b/>
      <u/>
      <sz val="11"/>
      <color indexed="10"/>
      <name val="Arial"/>
      <family val="2"/>
    </font>
    <font>
      <b/>
      <sz val="16"/>
      <color rgb="FF00B050"/>
      <name val="Arial"/>
      <family val="2"/>
    </font>
    <font>
      <b/>
      <sz val="16"/>
      <color theme="3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i/>
      <sz val="10"/>
      <name val="Arial"/>
      <family val="2"/>
    </font>
    <font>
      <b/>
      <sz val="11"/>
      <color theme="3" tint="-0.249977111117893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.5"/>
      <color theme="3" tint="-0.249977111117893"/>
      <name val="Arial"/>
      <family val="2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b/>
      <sz val="14"/>
      <color rgb="FF00B05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color theme="9" tint="-0.499984740745262"/>
      <name val="Arial"/>
      <family val="2"/>
    </font>
    <font>
      <b/>
      <sz val="11"/>
      <color theme="5" tint="-0.249977111117893"/>
      <name val="Arial"/>
      <family val="2"/>
    </font>
    <font>
      <b/>
      <sz val="18"/>
      <color theme="3"/>
      <name val="Arial"/>
      <family val="2"/>
    </font>
    <font>
      <b/>
      <sz val="12"/>
      <color theme="9" tint="-0.499984740745262"/>
      <name val="Arial"/>
      <family val="2"/>
    </font>
    <font>
      <u/>
      <sz val="9"/>
      <name val="Arial"/>
      <family val="2"/>
    </font>
    <font>
      <b/>
      <sz val="11"/>
      <color theme="9" tint="-0.499984740745262"/>
      <name val="Arial"/>
      <family val="2"/>
    </font>
    <font>
      <b/>
      <sz val="9"/>
      <color rgb="FFC00000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b/>
      <sz val="18"/>
      <color rgb="FF002060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sz val="11.5"/>
      <color rgb="FF000000"/>
      <name val="Garamond"/>
      <family val="1"/>
    </font>
    <font>
      <b/>
      <sz val="11.5"/>
      <color rgb="FF000000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sz val="10"/>
      <color theme="9" tint="-0.499984740745262"/>
      <name val="Arial"/>
      <family val="2"/>
    </font>
    <font>
      <b/>
      <sz val="12"/>
      <color rgb="FFC00000"/>
      <name val="Arial"/>
      <family val="2"/>
    </font>
    <font>
      <sz val="12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theme="5" tint="-0.499984740745262"/>
      <name val="Arial"/>
      <family val="2"/>
    </font>
    <font>
      <sz val="11"/>
      <color rgb="FF002060"/>
      <name val="Arial"/>
      <family val="2"/>
    </font>
    <font>
      <sz val="11"/>
      <color theme="9" tint="-0.249977111117893"/>
      <name val="Arial"/>
      <family val="2"/>
    </font>
    <font>
      <b/>
      <sz val="9"/>
      <color rgb="FF002060"/>
      <name val="Arial"/>
      <family val="2"/>
    </font>
    <font>
      <b/>
      <sz val="14"/>
      <color rgb="FF002060"/>
      <name val="Arial"/>
      <family val="2"/>
    </font>
    <font>
      <sz val="10"/>
      <color rgb="FFFF0000"/>
      <name val="Arial"/>
      <family val="2"/>
    </font>
    <font>
      <sz val="9"/>
      <color rgb="FFC0000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rgb="FF002060"/>
      <name val="Garamond"/>
      <family val="1"/>
    </font>
    <font>
      <b/>
      <sz val="18"/>
      <color rgb="FF002060"/>
      <name val="Arial"/>
      <family val="2"/>
    </font>
    <font>
      <b/>
      <sz val="16"/>
      <color rgb="FF002060"/>
      <name val="Arial"/>
      <family val="2"/>
    </font>
    <font>
      <sz val="12"/>
      <name val="Tms Rmn"/>
    </font>
    <font>
      <b/>
      <sz val="14"/>
      <name val="Garamond"/>
      <family val="1"/>
    </font>
    <font>
      <sz val="12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6"/>
      <color rgb="FF002060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4"/>
      <color theme="9" tint="-0.499984740745262"/>
      <name val="Garamond"/>
      <family val="1"/>
    </font>
    <font>
      <u/>
      <sz val="11"/>
      <color theme="1"/>
      <name val="Garamond"/>
      <family val="1"/>
    </font>
    <font>
      <b/>
      <sz val="11"/>
      <color rgb="FF002060"/>
      <name val="Garamond"/>
      <family val="1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3"/>
      <color rgb="FF002060"/>
      <name val="Arial"/>
      <family val="2"/>
    </font>
    <font>
      <sz val="12"/>
      <color theme="5" tint="-0.249977111117893"/>
      <name val="Garamond"/>
      <family val="1"/>
    </font>
    <font>
      <b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5"/>
      <color theme="3"/>
      <name val="Arial"/>
      <family val="2"/>
    </font>
    <font>
      <sz val="12"/>
      <color rgb="FFC00000"/>
      <name val="Garamond"/>
      <family val="1"/>
    </font>
    <font>
      <sz val="10"/>
      <color rgb="FFC00000"/>
      <name val="Arial"/>
      <family val="2"/>
    </font>
    <font>
      <b/>
      <sz val="11"/>
      <color theme="1" tint="4.9989318521683403E-2"/>
      <name val="Garamond"/>
      <family val="1"/>
    </font>
    <font>
      <b/>
      <sz val="14"/>
      <color rgb="FF002060"/>
      <name val="Garamond"/>
      <family val="1"/>
    </font>
    <font>
      <b/>
      <sz val="14"/>
      <color rgb="FFCC9900"/>
      <name val="Arial"/>
      <family val="2"/>
    </font>
    <font>
      <u/>
      <sz val="11"/>
      <color theme="10"/>
      <name val="Calibri"/>
      <family val="2"/>
      <scheme val="minor"/>
    </font>
    <font>
      <b/>
      <sz val="11.5"/>
      <color theme="9" tint="-0.249977111117893"/>
      <name val="Garamond"/>
      <family val="1"/>
    </font>
    <font>
      <b/>
      <sz val="14"/>
      <color rgb="FFFF0000"/>
      <name val="Arial"/>
      <family val="2"/>
    </font>
    <font>
      <b/>
      <sz val="14"/>
      <color theme="4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8"/>
      <color theme="3" tint="0.39997558519241921"/>
      <name val="Arial"/>
      <family val="2"/>
    </font>
    <font>
      <b/>
      <sz val="16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9" tint="-0.499984740745262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FF0000"/>
      <name val="Garamond"/>
      <family val="1"/>
    </font>
    <font>
      <b/>
      <sz val="8"/>
      <color theme="1"/>
      <name val="Garamond"/>
      <family val="1"/>
    </font>
    <font>
      <b/>
      <sz val="6"/>
      <color theme="1"/>
      <name val="Garamond"/>
      <family val="1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3" tint="-0.249977111117893"/>
      <name val="Arial"/>
      <family val="2"/>
    </font>
    <font>
      <b/>
      <i/>
      <sz val="11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EFB9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rgb="FFCCECFF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theme="0"/>
      </patternFill>
    </fill>
  </fills>
  <borders count="1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63">
    <xf numFmtId="0" fontId="0" fillId="0" borderId="0"/>
    <xf numFmtId="43" fontId="10" fillId="0" borderId="0" applyFont="0" applyFill="0" applyBorder="0" applyAlignment="0" applyProtection="0"/>
    <xf numFmtId="0" fontId="8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7" borderId="0" applyNumberFormat="0" applyBorder="0" applyAlignment="0" applyProtection="0"/>
    <xf numFmtId="0" fontId="18" fillId="24" borderId="9" applyNumberFormat="0" applyAlignment="0" applyProtection="0"/>
    <xf numFmtId="0" fontId="19" fillId="25" borderId="10" applyNumberFormat="0" applyAlignment="0" applyProtection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11" borderId="9" applyNumberFormat="0" applyAlignment="0" applyProtection="0"/>
    <xf numFmtId="0" fontId="27" fillId="0" borderId="14" applyNumberFormat="0" applyFill="0" applyAlignment="0" applyProtection="0"/>
    <xf numFmtId="0" fontId="28" fillId="26" borderId="0" applyNumberFormat="0" applyBorder="0" applyAlignment="0" applyProtection="0"/>
    <xf numFmtId="0" fontId="7" fillId="0" borderId="0"/>
    <xf numFmtId="0" fontId="20" fillId="0" borderId="0"/>
    <xf numFmtId="0" fontId="20" fillId="27" borderId="15" applyNumberFormat="0" applyFont="0" applyAlignment="0" applyProtection="0"/>
    <xf numFmtId="0" fontId="29" fillId="24" borderId="16" applyNumberFormat="0" applyAlignment="0" applyProtection="0"/>
    <xf numFmtId="9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20" fillId="0" borderId="0"/>
    <xf numFmtId="9" fontId="10" fillId="0" borderId="0" applyFont="0" applyFill="0" applyBorder="0" applyAlignment="0" applyProtection="0"/>
    <xf numFmtId="0" fontId="42" fillId="0" borderId="0"/>
    <xf numFmtId="169" fontId="112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4" fillId="0" borderId="0"/>
    <xf numFmtId="0" fontId="136" fillId="0" borderId="0" applyNumberForma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</cellStyleXfs>
  <cellXfs count="1745">
    <xf numFmtId="0" fontId="0" fillId="0" borderId="0" xfId="0"/>
    <xf numFmtId="0" fontId="8" fillId="0" borderId="0" xfId="2"/>
    <xf numFmtId="0" fontId="11" fillId="2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0" borderId="0" xfId="41" applyFont="1" applyAlignment="1">
      <alignment horizontal="center" vertical="center"/>
    </xf>
    <xf numFmtId="0" fontId="13" fillId="3" borderId="0" xfId="41" applyFont="1" applyFill="1" applyAlignment="1">
      <alignment horizontal="right" vertical="center"/>
    </xf>
    <xf numFmtId="0" fontId="8" fillId="0" borderId="0" xfId="2" applyAlignment="1">
      <alignment vertical="center"/>
    </xf>
    <xf numFmtId="0" fontId="8" fillId="0" borderId="0" xfId="2" applyFill="1" applyBorder="1"/>
    <xf numFmtId="0" fontId="20" fillId="0" borderId="0" xfId="2" applyFont="1" applyAlignment="1">
      <alignment vertical="center"/>
    </xf>
    <xf numFmtId="0" fontId="8" fillId="0" borderId="0" xfId="2" applyBorder="1"/>
    <xf numFmtId="0" fontId="36" fillId="0" borderId="0" xfId="2" applyFont="1" applyBorder="1" applyAlignment="1">
      <alignment horizontal="right"/>
    </xf>
    <xf numFmtId="0" fontId="35" fillId="2" borderId="48" xfId="2" applyFont="1" applyFill="1" applyBorder="1" applyAlignment="1">
      <alignment horizontal="center" vertical="center"/>
    </xf>
    <xf numFmtId="41" fontId="35" fillId="2" borderId="5" xfId="2" applyNumberFormat="1" applyFont="1" applyFill="1" applyBorder="1" applyAlignment="1">
      <alignment horizontal="center" vertical="center"/>
    </xf>
    <xf numFmtId="0" fontId="35" fillId="0" borderId="0" xfId="2" applyFont="1" applyAlignment="1">
      <alignment vertical="center"/>
    </xf>
    <xf numFmtId="0" fontId="20" fillId="0" borderId="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8" fillId="2" borderId="0" xfId="2" applyFill="1" applyBorder="1"/>
    <xf numFmtId="0" fontId="37" fillId="33" borderId="0" xfId="2" applyFont="1" applyFill="1" applyAlignment="1">
      <alignment vertical="center"/>
    </xf>
    <xf numFmtId="0" fontId="35" fillId="2" borderId="54" xfId="2" applyFont="1" applyFill="1" applyBorder="1" applyAlignment="1">
      <alignment horizontal="center" vertical="center"/>
    </xf>
    <xf numFmtId="0" fontId="8" fillId="0" borderId="48" xfId="2" applyBorder="1" applyAlignment="1">
      <alignment horizontal="center" vertical="center"/>
    </xf>
    <xf numFmtId="0" fontId="8" fillId="0" borderId="49" xfId="2" applyBorder="1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12" fillId="31" borderId="68" xfId="2" applyFont="1" applyFill="1" applyBorder="1" applyAlignment="1">
      <alignment horizontal="center" vertical="center" wrapText="1"/>
    </xf>
    <xf numFmtId="41" fontId="35" fillId="0" borderId="36" xfId="2" applyNumberFormat="1" applyFont="1" applyFill="1" applyBorder="1" applyAlignment="1">
      <alignment horizontal="center" vertical="center"/>
    </xf>
    <xf numFmtId="41" fontId="35" fillId="32" borderId="3" xfId="2" applyNumberFormat="1" applyFont="1" applyFill="1" applyBorder="1" applyAlignment="1">
      <alignment horizontal="center" vertical="center"/>
    </xf>
    <xf numFmtId="41" fontId="14" fillId="32" borderId="3" xfId="2" applyNumberFormat="1" applyFont="1" applyFill="1" applyBorder="1" applyAlignment="1">
      <alignment horizontal="center" vertical="center"/>
    </xf>
    <xf numFmtId="0" fontId="12" fillId="2" borderId="0" xfId="2" applyFont="1" applyFill="1"/>
    <xf numFmtId="0" fontId="20" fillId="0" borderId="0" xfId="2" applyFont="1" applyAlignment="1">
      <alignment horizontal="left" vertical="center"/>
    </xf>
    <xf numFmtId="0" fontId="12" fillId="0" borderId="0" xfId="2" applyFont="1"/>
    <xf numFmtId="0" fontId="12" fillId="2" borderId="0" xfId="2" applyFont="1" applyFill="1" applyBorder="1"/>
    <xf numFmtId="0" fontId="13" fillId="2" borderId="0" xfId="2" applyFont="1" applyFill="1" applyBorder="1" applyAlignment="1">
      <alignment horizontal="left"/>
    </xf>
    <xf numFmtId="0" fontId="12" fillId="0" borderId="7" xfId="2" applyFont="1" applyBorder="1" applyAlignment="1">
      <alignment horizontal="center" vertical="center"/>
    </xf>
    <xf numFmtId="0" fontId="8" fillId="2" borderId="0" xfId="2" applyFill="1" applyAlignment="1">
      <alignment vertical="center"/>
    </xf>
    <xf numFmtId="0" fontId="46" fillId="2" borderId="0" xfId="2" applyFont="1" applyFill="1" applyAlignment="1">
      <alignment horizontal="centerContinuous" vertical="center"/>
    </xf>
    <xf numFmtId="0" fontId="8" fillId="2" borderId="0" xfId="2" applyFill="1" applyAlignment="1">
      <alignment horizontal="centerContinuous" vertical="center"/>
    </xf>
    <xf numFmtId="0" fontId="13" fillId="2" borderId="0" xfId="2" applyFont="1" applyFill="1" applyAlignment="1">
      <alignment horizontal="left" vertical="center"/>
    </xf>
    <xf numFmtId="0" fontId="36" fillId="2" borderId="0" xfId="2" applyFont="1" applyFill="1" applyAlignment="1">
      <alignment horizontal="centerContinuous" vertical="center"/>
    </xf>
    <xf numFmtId="0" fontId="8" fillId="2" borderId="0" xfId="2" applyFill="1" applyBorder="1" applyAlignment="1">
      <alignment vertical="center"/>
    </xf>
    <xf numFmtId="0" fontId="12" fillId="31" borderId="69" xfId="2" applyFont="1" applyFill="1" applyBorder="1" applyAlignment="1">
      <alignment horizontal="center" vertical="center" wrapText="1"/>
    </xf>
    <xf numFmtId="0" fontId="12" fillId="0" borderId="47" xfId="2" applyFont="1" applyBorder="1" applyAlignment="1">
      <alignment horizontal="left" vertical="center"/>
    </xf>
    <xf numFmtId="0" fontId="20" fillId="0" borderId="36" xfId="2" applyFont="1" applyFill="1" applyBorder="1" applyAlignment="1">
      <alignment horizontal="center" vertical="center"/>
    </xf>
    <xf numFmtId="165" fontId="20" fillId="2" borderId="37" xfId="30" applyNumberFormat="1" applyFont="1" applyFill="1" applyBorder="1" applyAlignment="1">
      <alignment vertical="center"/>
    </xf>
    <xf numFmtId="0" fontId="20" fillId="0" borderId="4" xfId="2" applyFont="1" applyBorder="1" applyAlignment="1">
      <alignment horizontal="left" vertical="center"/>
    </xf>
    <xf numFmtId="165" fontId="20" fillId="0" borderId="5" xfId="30" applyNumberFormat="1" applyFont="1" applyFill="1" applyBorder="1" applyAlignment="1">
      <alignment horizontal="center" vertical="center"/>
    </xf>
    <xf numFmtId="165" fontId="20" fillId="2" borderId="6" xfId="30" applyNumberFormat="1" applyFont="1" applyFill="1" applyBorder="1" applyAlignment="1">
      <alignment vertical="center"/>
    </xf>
    <xf numFmtId="165" fontId="20" fillId="0" borderId="5" xfId="30" applyNumberFormat="1" applyFont="1" applyFill="1" applyBorder="1" applyAlignment="1">
      <alignment horizontal="left" vertical="center"/>
    </xf>
    <xf numFmtId="165" fontId="20" fillId="2" borderId="6" xfId="30" applyNumberFormat="1" applyFont="1" applyFill="1" applyBorder="1" applyAlignment="1">
      <alignment horizontal="left" vertical="center"/>
    </xf>
    <xf numFmtId="0" fontId="12" fillId="0" borderId="4" xfId="2" applyFont="1" applyBorder="1" applyAlignment="1">
      <alignment horizontal="center" vertical="center"/>
    </xf>
    <xf numFmtId="165" fontId="12" fillId="0" borderId="5" xfId="30" applyNumberFormat="1" applyFont="1" applyFill="1" applyBorder="1" applyAlignment="1">
      <alignment horizontal="left" vertical="center"/>
    </xf>
    <xf numFmtId="165" fontId="12" fillId="2" borderId="6" xfId="30" applyNumberFormat="1" applyFont="1" applyFill="1" applyBorder="1" applyAlignment="1">
      <alignment horizontal="left" vertical="center"/>
    </xf>
    <xf numFmtId="0" fontId="12" fillId="2" borderId="4" xfId="2" applyFont="1" applyFill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4" xfId="2" applyFont="1" applyBorder="1" applyAlignment="1">
      <alignment horizontal="left" vertical="center"/>
    </xf>
    <xf numFmtId="165" fontId="20" fillId="2" borderId="5" xfId="30" applyNumberFormat="1" applyFont="1" applyFill="1" applyBorder="1" applyAlignment="1">
      <alignment vertical="center"/>
    </xf>
    <xf numFmtId="165" fontId="20" fillId="2" borderId="8" xfId="30" applyNumberFormat="1" applyFont="1" applyFill="1" applyBorder="1" applyAlignment="1">
      <alignment vertical="center"/>
    </xf>
    <xf numFmtId="165" fontId="20" fillId="2" borderId="33" xfId="30" applyNumberFormat="1" applyFont="1" applyFill="1" applyBorder="1" applyAlignment="1">
      <alignment vertical="center"/>
    </xf>
    <xf numFmtId="0" fontId="35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 indent="3"/>
    </xf>
    <xf numFmtId="0" fontId="35" fillId="2" borderId="0" xfId="2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20" fillId="2" borderId="0" xfId="2" applyFont="1" applyFill="1" applyAlignment="1">
      <alignment vertical="center"/>
    </xf>
    <xf numFmtId="0" fontId="8" fillId="2" borderId="0" xfId="2" applyFill="1" applyAlignment="1">
      <alignment wrapText="1"/>
    </xf>
    <xf numFmtId="0" fontId="8" fillId="2" borderId="0" xfId="2" applyFill="1"/>
    <xf numFmtId="0" fontId="13" fillId="2" borderId="0" xfId="2" applyFont="1" applyFill="1" applyAlignment="1">
      <alignment horizontal="centerContinuous" wrapText="1"/>
    </xf>
    <xf numFmtId="0" fontId="8" fillId="2" borderId="0" xfId="2" applyFill="1" applyAlignment="1">
      <alignment horizontal="centerContinuous" wrapText="1"/>
    </xf>
    <xf numFmtId="0" fontId="8" fillId="2" borderId="0" xfId="2" applyFill="1" applyAlignment="1">
      <alignment horizontal="centerContinuous"/>
    </xf>
    <xf numFmtId="0" fontId="13" fillId="2" borderId="0" xfId="2" applyFont="1" applyFill="1" applyBorder="1" applyAlignment="1">
      <alignment horizontal="left" wrapText="1"/>
    </xf>
    <xf numFmtId="0" fontId="38" fillId="31" borderId="1" xfId="2" applyFont="1" applyFill="1" applyBorder="1" applyAlignment="1">
      <alignment horizontal="center" wrapText="1"/>
    </xf>
    <xf numFmtId="0" fontId="38" fillId="31" borderId="2" xfId="2" applyFont="1" applyFill="1" applyBorder="1" applyAlignment="1">
      <alignment horizontal="center" wrapText="1"/>
    </xf>
    <xf numFmtId="0" fontId="38" fillId="31" borderId="2" xfId="2" applyFont="1" applyFill="1" applyBorder="1" applyAlignment="1">
      <alignment horizontal="center"/>
    </xf>
    <xf numFmtId="0" fontId="44" fillId="31" borderId="2" xfId="2" applyFont="1" applyFill="1" applyBorder="1" applyAlignment="1">
      <alignment horizontal="center"/>
    </xf>
    <xf numFmtId="0" fontId="44" fillId="31" borderId="2" xfId="2" applyFont="1" applyFill="1" applyBorder="1" applyAlignment="1">
      <alignment horizontal="center" wrapText="1"/>
    </xf>
    <xf numFmtId="0" fontId="12" fillId="31" borderId="74" xfId="2" applyFont="1" applyFill="1" applyBorder="1" applyAlignment="1">
      <alignment horizontal="center"/>
    </xf>
    <xf numFmtId="0" fontId="8" fillId="0" borderId="0" xfId="2" applyAlignment="1">
      <alignment horizontal="center"/>
    </xf>
    <xf numFmtId="0" fontId="38" fillId="31" borderId="75" xfId="2" applyFont="1" applyFill="1" applyBorder="1" applyAlignment="1">
      <alignment horizontal="center" wrapText="1"/>
    </xf>
    <xf numFmtId="0" fontId="38" fillId="31" borderId="76" xfId="2" applyFont="1" applyFill="1" applyBorder="1" applyAlignment="1">
      <alignment horizontal="center" wrapText="1"/>
    </xf>
    <xf numFmtId="0" fontId="38" fillId="31" borderId="76" xfId="2" applyFont="1" applyFill="1" applyBorder="1" applyAlignment="1">
      <alignment horizontal="center"/>
    </xf>
    <xf numFmtId="0" fontId="44" fillId="31" borderId="76" xfId="2" applyFont="1" applyFill="1" applyBorder="1" applyAlignment="1">
      <alignment horizontal="center"/>
    </xf>
    <xf numFmtId="0" fontId="12" fillId="31" borderId="71" xfId="2" applyFont="1" applyFill="1" applyBorder="1" applyAlignment="1">
      <alignment horizontal="center"/>
    </xf>
    <xf numFmtId="9" fontId="38" fillId="31" borderId="76" xfId="2" applyNumberFormat="1" applyFont="1" applyFill="1" applyBorder="1" applyAlignment="1">
      <alignment horizontal="center"/>
    </xf>
    <xf numFmtId="0" fontId="44" fillId="31" borderId="76" xfId="2" applyFont="1" applyFill="1" applyBorder="1" applyAlignment="1">
      <alignment horizontal="center" wrapText="1"/>
    </xf>
    <xf numFmtId="0" fontId="38" fillId="31" borderId="57" xfId="2" applyFont="1" applyFill="1" applyBorder="1" applyAlignment="1">
      <alignment horizontal="center" wrapText="1"/>
    </xf>
    <xf numFmtId="0" fontId="38" fillId="31" borderId="39" xfId="2" applyFont="1" applyFill="1" applyBorder="1" applyAlignment="1">
      <alignment horizontal="center" wrapText="1"/>
    </xf>
    <xf numFmtId="0" fontId="38" fillId="31" borderId="39" xfId="2" applyFont="1" applyFill="1" applyBorder="1" applyAlignment="1">
      <alignment horizontal="center"/>
    </xf>
    <xf numFmtId="0" fontId="8" fillId="31" borderId="39" xfId="2" applyFill="1" applyBorder="1" applyAlignment="1">
      <alignment horizontal="center"/>
    </xf>
    <xf numFmtId="0" fontId="12" fillId="31" borderId="40" xfId="2" applyFont="1" applyFill="1" applyBorder="1" applyAlignment="1">
      <alignment horizontal="center"/>
    </xf>
    <xf numFmtId="0" fontId="45" fillId="31" borderId="7" xfId="2" applyFont="1" applyFill="1" applyBorder="1" applyAlignment="1">
      <alignment horizontal="center" wrapText="1"/>
    </xf>
    <xf numFmtId="0" fontId="45" fillId="31" borderId="8" xfId="2" applyFont="1" applyFill="1" applyBorder="1" applyAlignment="1">
      <alignment horizontal="center" wrapText="1"/>
    </xf>
    <xf numFmtId="0" fontId="45" fillId="31" borderId="8" xfId="2" applyFont="1" applyFill="1" applyBorder="1" applyAlignment="1">
      <alignment horizontal="center"/>
    </xf>
    <xf numFmtId="0" fontId="45" fillId="31" borderId="33" xfId="2" applyFont="1" applyFill="1" applyBorder="1" applyAlignment="1">
      <alignment horizontal="center"/>
    </xf>
    <xf numFmtId="0" fontId="12" fillId="0" borderId="6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8" fillId="0" borderId="0" xfId="2" applyAlignment="1">
      <alignment wrapText="1"/>
    </xf>
    <xf numFmtId="0" fontId="20" fillId="0" borderId="0" xfId="2" applyFont="1" applyAlignment="1">
      <alignment horizontal="center" vertical="center"/>
    </xf>
    <xf numFmtId="0" fontId="12" fillId="34" borderId="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79" xfId="2" applyFont="1" applyBorder="1" applyAlignment="1">
      <alignment horizontal="justify" vertical="center" wrapText="1"/>
    </xf>
    <xf numFmtId="0" fontId="20" fillId="0" borderId="79" xfId="2" applyFont="1" applyBorder="1" applyAlignment="1">
      <alignment horizontal="center" vertical="center" wrapText="1"/>
    </xf>
    <xf numFmtId="0" fontId="20" fillId="0" borderId="80" xfId="2" applyFont="1" applyBorder="1" applyAlignment="1">
      <alignment horizontal="justify" vertical="center" wrapText="1"/>
    </xf>
    <xf numFmtId="0" fontId="20" fillId="0" borderId="81" xfId="2" applyFont="1" applyBorder="1" applyAlignment="1">
      <alignment horizontal="justify" vertical="center" wrapText="1"/>
    </xf>
    <xf numFmtId="0" fontId="20" fillId="0" borderId="82" xfId="2" applyFont="1" applyBorder="1" applyAlignment="1">
      <alignment horizontal="center" vertical="center" wrapText="1"/>
    </xf>
    <xf numFmtId="41" fontId="20" fillId="0" borderId="79" xfId="2" applyNumberFormat="1" applyFont="1" applyBorder="1" applyAlignment="1">
      <alignment horizontal="center" vertical="center" wrapText="1"/>
    </xf>
    <xf numFmtId="41" fontId="20" fillId="0" borderId="83" xfId="2" applyNumberFormat="1" applyFont="1" applyBorder="1" applyAlignment="1">
      <alignment horizontal="center" vertical="center" wrapText="1"/>
    </xf>
    <xf numFmtId="0" fontId="20" fillId="0" borderId="86" xfId="2" applyFont="1" applyBorder="1" applyAlignment="1">
      <alignment horizontal="justify" vertical="center" wrapText="1"/>
    </xf>
    <xf numFmtId="0" fontId="20" fillId="0" borderId="86" xfId="2" applyFont="1" applyBorder="1" applyAlignment="1">
      <alignment horizontal="center" vertical="center" wrapText="1"/>
    </xf>
    <xf numFmtId="0" fontId="20" fillId="0" borderId="87" xfId="2" applyFont="1" applyBorder="1" applyAlignment="1">
      <alignment horizontal="justify" vertical="center" wrapText="1"/>
    </xf>
    <xf numFmtId="0" fontId="20" fillId="0" borderId="88" xfId="2" applyFont="1" applyBorder="1" applyAlignment="1">
      <alignment horizontal="justify" vertical="center" wrapText="1"/>
    </xf>
    <xf numFmtId="0" fontId="20" fillId="0" borderId="89" xfId="2" applyFont="1" applyBorder="1" applyAlignment="1">
      <alignment horizontal="center" vertical="center" wrapText="1"/>
    </xf>
    <xf numFmtId="41" fontId="20" fillId="0" borderId="86" xfId="2" applyNumberFormat="1" applyFont="1" applyBorder="1" applyAlignment="1">
      <alignment horizontal="center" vertical="center" wrapText="1"/>
    </xf>
    <xf numFmtId="41" fontId="20" fillId="0" borderId="90" xfId="2" applyNumberFormat="1" applyFont="1" applyBorder="1" applyAlignment="1">
      <alignment horizontal="center" vertical="center" wrapText="1"/>
    </xf>
    <xf numFmtId="0" fontId="20" fillId="0" borderId="92" xfId="2" applyFont="1" applyBorder="1" applyAlignment="1">
      <alignment horizontal="justify" vertical="center" wrapText="1"/>
    </xf>
    <xf numFmtId="0" fontId="20" fillId="0" borderId="92" xfId="2" applyFont="1" applyBorder="1" applyAlignment="1">
      <alignment horizontal="center" vertical="center" wrapText="1"/>
    </xf>
    <xf numFmtId="0" fontId="20" fillId="0" borderId="93" xfId="2" applyFont="1" applyBorder="1" applyAlignment="1">
      <alignment horizontal="justify" vertical="center" wrapText="1"/>
    </xf>
    <xf numFmtId="0" fontId="20" fillId="0" borderId="94" xfId="2" applyFont="1" applyBorder="1" applyAlignment="1">
      <alignment horizontal="justify" vertical="center" wrapText="1"/>
    </xf>
    <xf numFmtId="0" fontId="20" fillId="0" borderId="95" xfId="2" applyFont="1" applyBorder="1" applyAlignment="1">
      <alignment horizontal="center" vertical="center" wrapText="1"/>
    </xf>
    <xf numFmtId="0" fontId="20" fillId="0" borderId="96" xfId="2" applyFont="1" applyBorder="1" applyAlignment="1">
      <alignment horizontal="justify" vertical="center" wrapText="1"/>
    </xf>
    <xf numFmtId="0" fontId="20" fillId="0" borderId="96" xfId="2" applyFont="1" applyBorder="1" applyAlignment="1">
      <alignment horizontal="center" vertical="center" wrapText="1"/>
    </xf>
    <xf numFmtId="0" fontId="20" fillId="0" borderId="97" xfId="2" applyFont="1" applyBorder="1" applyAlignment="1">
      <alignment horizontal="justify" vertical="center" wrapText="1"/>
    </xf>
    <xf numFmtId="0" fontId="20" fillId="0" borderId="98" xfId="2" applyFont="1" applyBorder="1" applyAlignment="1">
      <alignment horizontal="justify" vertical="center" wrapText="1"/>
    </xf>
    <xf numFmtId="0" fontId="20" fillId="0" borderId="99" xfId="2" applyFont="1" applyBorder="1" applyAlignment="1">
      <alignment horizontal="center" vertical="center" wrapText="1"/>
    </xf>
    <xf numFmtId="0" fontId="20" fillId="0" borderId="81" xfId="2" applyFont="1" applyBorder="1" applyAlignment="1">
      <alignment horizontal="center" vertical="center" wrapText="1"/>
    </xf>
    <xf numFmtId="0" fontId="20" fillId="0" borderId="100" xfId="2" applyFont="1" applyBorder="1" applyAlignment="1">
      <alignment horizontal="center" vertical="center" wrapText="1"/>
    </xf>
    <xf numFmtId="0" fontId="20" fillId="0" borderId="101" xfId="2" applyFont="1" applyBorder="1" applyAlignment="1">
      <alignment horizontal="left" vertical="center" wrapText="1"/>
    </xf>
    <xf numFmtId="0" fontId="20" fillId="0" borderId="98" xfId="2" applyFont="1" applyBorder="1" applyAlignment="1">
      <alignment horizontal="center" vertical="center" wrapText="1"/>
    </xf>
    <xf numFmtId="0" fontId="20" fillId="0" borderId="102" xfId="2" applyFont="1" applyBorder="1" applyAlignment="1">
      <alignment horizontal="center" vertical="center" wrapText="1"/>
    </xf>
    <xf numFmtId="0" fontId="20" fillId="0" borderId="101" xfId="2" applyFont="1" applyBorder="1" applyAlignment="1">
      <alignment horizontal="justify" vertical="center" wrapText="1"/>
    </xf>
    <xf numFmtId="0" fontId="20" fillId="0" borderId="103" xfId="2" applyFont="1" applyBorder="1" applyAlignment="1">
      <alignment horizontal="justify" vertical="center" wrapText="1"/>
    </xf>
    <xf numFmtId="0" fontId="20" fillId="0" borderId="104" xfId="2" applyFont="1" applyBorder="1" applyAlignment="1">
      <alignment horizontal="justify" vertical="center" wrapText="1"/>
    </xf>
    <xf numFmtId="0" fontId="20" fillId="0" borderId="104" xfId="2" applyFont="1" applyBorder="1" applyAlignment="1">
      <alignment horizontal="center" vertical="center" wrapText="1"/>
    </xf>
    <xf numFmtId="0" fontId="20" fillId="0" borderId="105" xfId="2" applyFont="1" applyBorder="1" applyAlignment="1">
      <alignment horizontal="center" vertical="center" wrapText="1"/>
    </xf>
    <xf numFmtId="0" fontId="20" fillId="0" borderId="59" xfId="2" applyFont="1" applyBorder="1" applyAlignment="1">
      <alignment horizontal="left" vertical="center" wrapText="1"/>
    </xf>
    <xf numFmtId="0" fontId="20" fillId="0" borderId="94" xfId="2" applyFont="1" applyBorder="1" applyAlignment="1">
      <alignment horizontal="center" vertical="center" wrapText="1"/>
    </xf>
    <xf numFmtId="0" fontId="20" fillId="0" borderId="106" xfId="2" applyFont="1" applyBorder="1" applyAlignment="1">
      <alignment horizontal="center" vertical="center" wrapText="1"/>
    </xf>
    <xf numFmtId="0" fontId="20" fillId="0" borderId="88" xfId="2" applyFont="1" applyBorder="1" applyAlignment="1">
      <alignment horizontal="center" vertical="center" wrapText="1"/>
    </xf>
    <xf numFmtId="0" fontId="20" fillId="0" borderId="107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justify" vertical="center" wrapText="1"/>
    </xf>
    <xf numFmtId="0" fontId="20" fillId="0" borderId="0" xfId="2" applyFont="1" applyBorder="1" applyAlignment="1">
      <alignment horizontal="center" vertical="center" wrapText="1"/>
    </xf>
    <xf numFmtId="0" fontId="45" fillId="35" borderId="3" xfId="2" applyFont="1" applyFill="1" applyBorder="1" applyAlignment="1">
      <alignment horizontal="center" vertical="center" wrapText="1"/>
    </xf>
    <xf numFmtId="0" fontId="20" fillId="0" borderId="92" xfId="2" applyFont="1" applyFill="1" applyBorder="1" applyAlignment="1">
      <alignment horizontal="center" vertical="center"/>
    </xf>
    <xf numFmtId="0" fontId="45" fillId="0" borderId="93" xfId="2" applyFont="1" applyFill="1" applyBorder="1" applyAlignment="1">
      <alignment horizontal="center" vertical="center" wrapText="1"/>
    </xf>
    <xf numFmtId="0" fontId="45" fillId="0" borderId="94" xfId="2" applyFont="1" applyFill="1" applyBorder="1" applyAlignment="1">
      <alignment horizontal="center" vertical="center" wrapText="1"/>
    </xf>
    <xf numFmtId="0" fontId="20" fillId="0" borderId="87" xfId="2" applyFont="1" applyBorder="1" applyAlignment="1">
      <alignment horizontal="center" vertical="center" wrapText="1"/>
    </xf>
    <xf numFmtId="0" fontId="20" fillId="0" borderId="79" xfId="2" applyFont="1" applyFill="1" applyBorder="1" applyAlignment="1">
      <alignment horizontal="center" vertical="center"/>
    </xf>
    <xf numFmtId="0" fontId="20" fillId="0" borderId="97" xfId="2" applyFont="1" applyBorder="1" applyAlignment="1">
      <alignment horizontal="center" vertical="center" wrapText="1"/>
    </xf>
    <xf numFmtId="0" fontId="20" fillId="0" borderId="101" xfId="2" applyFont="1" applyBorder="1" applyAlignment="1">
      <alignment horizontal="center" vertical="center" wrapText="1"/>
    </xf>
    <xf numFmtId="0" fontId="20" fillId="0" borderId="103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justify" vertical="center" wrapText="1"/>
    </xf>
    <xf numFmtId="0" fontId="12" fillId="0" borderId="0" xfId="2" applyFont="1" applyBorder="1" applyAlignment="1">
      <alignment horizontal="center" vertical="center" wrapText="1"/>
    </xf>
    <xf numFmtId="0" fontId="20" fillId="3" borderId="0" xfId="41" applyFill="1" applyAlignment="1">
      <alignment vertical="center"/>
    </xf>
    <xf numFmtId="0" fontId="11" fillId="3" borderId="0" xfId="41" applyFont="1" applyFill="1" applyAlignment="1">
      <alignment horizontal="center" vertical="center"/>
    </xf>
    <xf numFmtId="0" fontId="56" fillId="3" borderId="0" xfId="0" applyFont="1" applyFill="1" applyAlignment="1">
      <alignment vertical="center" wrapText="1"/>
    </xf>
    <xf numFmtId="0" fontId="55" fillId="3" borderId="0" xfId="41" applyFont="1" applyFill="1" applyAlignment="1">
      <alignment vertical="center"/>
    </xf>
    <xf numFmtId="0" fontId="56" fillId="3" borderId="0" xfId="41" applyFont="1" applyFill="1" applyAlignment="1">
      <alignment horizontal="center" vertical="center"/>
    </xf>
    <xf numFmtId="0" fontId="20" fillId="0" borderId="0" xfId="2" applyFont="1"/>
    <xf numFmtId="0" fontId="20" fillId="0" borderId="0" xfId="41" applyFont="1" applyAlignment="1">
      <alignment vertical="center"/>
    </xf>
    <xf numFmtId="49" fontId="20" fillId="3" borderId="0" xfId="41" applyNumberFormat="1" applyFont="1" applyFill="1" applyAlignment="1">
      <alignment horizontal="center" vertical="center"/>
    </xf>
    <xf numFmtId="0" fontId="20" fillId="0" borderId="0" xfId="2" applyFont="1" applyFill="1"/>
    <xf numFmtId="0" fontId="20" fillId="3" borderId="0" xfId="41" applyFont="1" applyFill="1" applyAlignment="1">
      <alignment horizontal="right" vertical="center"/>
    </xf>
    <xf numFmtId="49" fontId="33" fillId="3" borderId="0" xfId="2" applyNumberFormat="1" applyFont="1" applyFill="1" applyBorder="1" applyAlignment="1">
      <alignment horizontal="right" wrapText="1"/>
    </xf>
    <xf numFmtId="0" fontId="20" fillId="0" borderId="0" xfId="2" applyFont="1" applyFill="1" applyAlignment="1">
      <alignment vertical="center"/>
    </xf>
    <xf numFmtId="49" fontId="20" fillId="5" borderId="26" xfId="2" applyNumberFormat="1" applyFont="1" applyFill="1" applyBorder="1" applyAlignment="1">
      <alignment horizontal="left" vertical="center" wrapText="1"/>
    </xf>
    <xf numFmtId="0" fontId="62" fillId="0" borderId="0" xfId="2" applyFont="1" applyAlignment="1">
      <alignment vertical="center"/>
    </xf>
    <xf numFmtId="0" fontId="63" fillId="0" borderId="0" xfId="2" applyFont="1" applyAlignment="1">
      <alignment vertical="center"/>
    </xf>
    <xf numFmtId="0" fontId="20" fillId="0" borderId="0" xfId="2" applyFont="1" applyFill="1" applyBorder="1"/>
    <xf numFmtId="0" fontId="64" fillId="0" borderId="0" xfId="0" applyFont="1"/>
    <xf numFmtId="0" fontId="64" fillId="3" borderId="0" xfId="0" applyFont="1" applyFill="1"/>
    <xf numFmtId="0" fontId="65" fillId="0" borderId="0" xfId="0" applyFont="1" applyFill="1"/>
    <xf numFmtId="0" fontId="64" fillId="3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5" fillId="0" borderId="0" xfId="0" applyFont="1"/>
    <xf numFmtId="0" fontId="58" fillId="0" borderId="0" xfId="0" applyFont="1" applyFill="1"/>
    <xf numFmtId="0" fontId="58" fillId="0" borderId="0" xfId="0" applyFont="1"/>
    <xf numFmtId="0" fontId="20" fillId="3" borderId="0" xfId="41" applyFont="1" applyFill="1" applyAlignment="1">
      <alignment vertical="center"/>
    </xf>
    <xf numFmtId="0" fontId="20" fillId="3" borderId="0" xfId="41" applyFont="1" applyFill="1" applyAlignment="1">
      <alignment horizontal="left" vertical="center" wrapText="1"/>
    </xf>
    <xf numFmtId="49" fontId="33" fillId="0" borderId="0" xfId="0" applyNumberFormat="1" applyFont="1" applyFill="1" applyBorder="1" applyAlignment="1">
      <alignment horizontal="right" wrapText="1"/>
    </xf>
    <xf numFmtId="0" fontId="55" fillId="3" borderId="0" xfId="41" applyFont="1" applyFill="1" applyAlignment="1">
      <alignment vertical="top"/>
    </xf>
    <xf numFmtId="0" fontId="64" fillId="3" borderId="0" xfId="40" applyFont="1" applyFill="1"/>
    <xf numFmtId="0" fontId="49" fillId="31" borderId="39" xfId="2" applyNumberFormat="1" applyFont="1" applyFill="1" applyBorder="1" applyAlignment="1">
      <alignment horizontal="center"/>
    </xf>
    <xf numFmtId="0" fontId="14" fillId="29" borderId="44" xfId="2" applyFont="1" applyFill="1" applyBorder="1" applyAlignment="1">
      <alignment vertical="center"/>
    </xf>
    <xf numFmtId="49" fontId="56" fillId="0" borderId="18" xfId="0" applyNumberFormat="1" applyFont="1" applyFill="1" applyBorder="1" applyAlignment="1">
      <alignment vertical="center" wrapText="1"/>
    </xf>
    <xf numFmtId="165" fontId="35" fillId="29" borderId="43" xfId="30" applyNumberFormat="1" applyFont="1" applyFill="1" applyBorder="1" applyAlignment="1">
      <alignment vertical="center"/>
    </xf>
    <xf numFmtId="0" fontId="14" fillId="29" borderId="3" xfId="2" applyFont="1" applyFill="1" applyBorder="1" applyAlignment="1">
      <alignment horizontal="left" vertical="center"/>
    </xf>
    <xf numFmtId="0" fontId="8" fillId="0" borderId="0" xfId="2" applyFont="1" applyFill="1"/>
    <xf numFmtId="0" fontId="8" fillId="0" borderId="0" xfId="2" applyFont="1"/>
    <xf numFmtId="0" fontId="71" fillId="0" borderId="0" xfId="2" applyFont="1"/>
    <xf numFmtId="0" fontId="72" fillId="3" borderId="0" xfId="0" applyFont="1" applyFill="1" applyBorder="1" applyAlignment="1">
      <alignment horizontal="right" vertical="center"/>
    </xf>
    <xf numFmtId="0" fontId="80" fillId="2" borderId="0" xfId="2" applyFont="1" applyFill="1" applyBorder="1" applyAlignment="1"/>
    <xf numFmtId="0" fontId="39" fillId="2" borderId="0" xfId="2" applyFont="1" applyFill="1" applyBorder="1" applyAlignment="1"/>
    <xf numFmtId="0" fontId="38" fillId="0" borderId="0" xfId="2" applyFont="1"/>
    <xf numFmtId="0" fontId="35" fillId="0" borderId="0" xfId="2" applyFont="1"/>
    <xf numFmtId="0" fontId="42" fillId="2" borderId="18" xfId="2" applyFont="1" applyFill="1" applyBorder="1" applyAlignment="1"/>
    <xf numFmtId="0" fontId="42" fillId="0" borderId="0" xfId="2" applyFont="1"/>
    <xf numFmtId="0" fontId="35" fillId="0" borderId="0" xfId="2" applyFont="1" applyBorder="1"/>
    <xf numFmtId="0" fontId="37" fillId="40" borderId="0" xfId="2" applyFont="1" applyFill="1"/>
    <xf numFmtId="0" fontId="81" fillId="0" borderId="0" xfId="2" applyFont="1" applyBorder="1" applyAlignment="1">
      <alignment horizontal="right"/>
    </xf>
    <xf numFmtId="0" fontId="38" fillId="2" borderId="48" xfId="2" applyFont="1" applyFill="1" applyBorder="1" applyAlignment="1">
      <alignment horizontal="center" vertical="center"/>
    </xf>
    <xf numFmtId="0" fontId="8" fillId="0" borderId="0" xfId="2" applyFill="1"/>
    <xf numFmtId="41" fontId="14" fillId="0" borderId="8" xfId="2" applyNumberFormat="1" applyFont="1" applyFill="1" applyBorder="1" applyAlignment="1">
      <alignment horizontal="center" vertical="center"/>
    </xf>
    <xf numFmtId="0" fontId="8" fillId="35" borderId="0" xfId="2" applyFill="1"/>
    <xf numFmtId="0" fontId="11" fillId="33" borderId="0" xfId="2" applyFont="1" applyFill="1" applyAlignment="1">
      <alignment vertical="center"/>
    </xf>
    <xf numFmtId="0" fontId="35" fillId="33" borderId="8" xfId="2" applyFont="1" applyFill="1" applyBorder="1" applyAlignment="1">
      <alignment horizontal="center" vertical="center" textRotation="90" wrapText="1"/>
    </xf>
    <xf numFmtId="0" fontId="35" fillId="2" borderId="4" xfId="2" applyFont="1" applyFill="1" applyBorder="1" applyAlignment="1">
      <alignment horizontal="center" vertical="center"/>
    </xf>
    <xf numFmtId="0" fontId="35" fillId="0" borderId="4" xfId="2" applyFont="1" applyBorder="1" applyAlignment="1">
      <alignment horizontal="center" vertical="center"/>
    </xf>
    <xf numFmtId="0" fontId="35" fillId="2" borderId="18" xfId="2" applyFont="1" applyFill="1" applyBorder="1" applyAlignment="1"/>
    <xf numFmtId="0" fontId="82" fillId="2" borderId="0" xfId="2" applyFont="1" applyFill="1" applyBorder="1" applyAlignment="1"/>
    <xf numFmtId="0" fontId="35" fillId="2" borderId="5" xfId="2" applyFont="1" applyFill="1" applyBorder="1" applyAlignment="1">
      <alignment horizontal="center" vertical="center"/>
    </xf>
    <xf numFmtId="0" fontId="35" fillId="2" borderId="0" xfId="2" applyFont="1" applyFill="1" applyBorder="1" applyAlignment="1"/>
    <xf numFmtId="0" fontId="14" fillId="35" borderId="48" xfId="2" applyFont="1" applyFill="1" applyBorder="1" applyAlignment="1">
      <alignment horizontal="center" vertical="center" wrapText="1"/>
    </xf>
    <xf numFmtId="0" fontId="35" fillId="2" borderId="49" xfId="2" applyFont="1" applyFill="1" applyBorder="1" applyAlignment="1">
      <alignment horizontal="center" vertical="center"/>
    </xf>
    <xf numFmtId="0" fontId="14" fillId="35" borderId="3" xfId="2" applyFont="1" applyFill="1" applyBorder="1" applyAlignment="1">
      <alignment horizontal="center" vertical="center" wrapText="1"/>
    </xf>
    <xf numFmtId="3" fontId="14" fillId="35" borderId="3" xfId="2" applyNumberFormat="1" applyFont="1" applyFill="1" applyBorder="1" applyAlignment="1">
      <alignment horizontal="center" vertical="center" wrapText="1"/>
    </xf>
    <xf numFmtId="166" fontId="35" fillId="35" borderId="3" xfId="1" applyNumberFormat="1" applyFont="1" applyFill="1" applyBorder="1" applyAlignment="1">
      <alignment horizontal="right" vertical="center"/>
    </xf>
    <xf numFmtId="3" fontId="35" fillId="2" borderId="47" xfId="1" applyNumberFormat="1" applyFont="1" applyFill="1" applyBorder="1" applyAlignment="1">
      <alignment horizontal="center" vertical="center"/>
    </xf>
    <xf numFmtId="3" fontId="35" fillId="2" borderId="36" xfId="1" applyNumberFormat="1" applyFont="1" applyFill="1" applyBorder="1" applyAlignment="1">
      <alignment horizontal="center" vertical="center"/>
    </xf>
    <xf numFmtId="166" fontId="35" fillId="2" borderId="36" xfId="2" applyNumberFormat="1" applyFont="1" applyFill="1" applyBorder="1" applyAlignment="1">
      <alignment horizontal="right" vertical="center" wrapText="1"/>
    </xf>
    <xf numFmtId="166" fontId="35" fillId="2" borderId="37" xfId="2" applyNumberFormat="1" applyFont="1" applyFill="1" applyBorder="1" applyAlignment="1">
      <alignment horizontal="right" vertical="center" wrapText="1"/>
    </xf>
    <xf numFmtId="3" fontId="35" fillId="2" borderId="4" xfId="2" applyNumberFormat="1" applyFont="1" applyFill="1" applyBorder="1" applyAlignment="1">
      <alignment horizontal="center" vertical="center"/>
    </xf>
    <xf numFmtId="3" fontId="35" fillId="2" borderId="5" xfId="2" applyNumberFormat="1" applyFont="1" applyFill="1" applyBorder="1" applyAlignment="1">
      <alignment horizontal="center" vertical="center"/>
    </xf>
    <xf numFmtId="166" fontId="35" fillId="2" borderId="5" xfId="2" applyNumberFormat="1" applyFont="1" applyFill="1" applyBorder="1" applyAlignment="1">
      <alignment horizontal="right" vertical="center"/>
    </xf>
    <xf numFmtId="166" fontId="35" fillId="2" borderId="6" xfId="2" applyNumberFormat="1" applyFont="1" applyFill="1" applyBorder="1" applyAlignment="1">
      <alignment horizontal="right" vertical="center"/>
    </xf>
    <xf numFmtId="3" fontId="35" fillId="2" borderId="7" xfId="2" applyNumberFormat="1" applyFont="1" applyFill="1" applyBorder="1" applyAlignment="1">
      <alignment horizontal="center" vertical="center"/>
    </xf>
    <xf numFmtId="3" fontId="35" fillId="2" borderId="8" xfId="2" applyNumberFormat="1" applyFont="1" applyFill="1" applyBorder="1" applyAlignment="1">
      <alignment horizontal="center" vertical="center"/>
    </xf>
    <xf numFmtId="166" fontId="35" fillId="2" borderId="8" xfId="2" applyNumberFormat="1" applyFont="1" applyFill="1" applyBorder="1" applyAlignment="1">
      <alignment horizontal="right" vertical="center"/>
    </xf>
    <xf numFmtId="166" fontId="35" fillId="2" borderId="33" xfId="2" applyNumberFormat="1" applyFont="1" applyFill="1" applyBorder="1" applyAlignment="1">
      <alignment horizontal="right" vertical="center"/>
    </xf>
    <xf numFmtId="0" fontId="35" fillId="2" borderId="47" xfId="2" applyFont="1" applyFill="1" applyBorder="1" applyAlignment="1">
      <alignment horizontal="center" vertical="center"/>
    </xf>
    <xf numFmtId="0" fontId="35" fillId="2" borderId="36" xfId="2" applyFont="1" applyFill="1" applyBorder="1" applyAlignment="1">
      <alignment horizontal="center" vertical="center"/>
    </xf>
    <xf numFmtId="0" fontId="35" fillId="0" borderId="7" xfId="2" applyFont="1" applyBorder="1" applyAlignment="1">
      <alignment horizontal="center" vertical="center"/>
    </xf>
    <xf numFmtId="0" fontId="35" fillId="2" borderId="8" xfId="2" applyFont="1" applyFill="1" applyBorder="1" applyAlignment="1">
      <alignment horizontal="center" vertical="center"/>
    </xf>
    <xf numFmtId="41" fontId="14" fillId="0" borderId="32" xfId="2" applyNumberFormat="1" applyFont="1" applyFill="1" applyBorder="1" applyAlignment="1">
      <alignment horizontal="center" vertical="center"/>
    </xf>
    <xf numFmtId="0" fontId="42" fillId="0" borderId="0" xfId="2" applyFont="1" applyBorder="1"/>
    <xf numFmtId="0" fontId="37" fillId="40" borderId="0" xfId="2" applyFont="1" applyFill="1" applyBorder="1"/>
    <xf numFmtId="41" fontId="14" fillId="0" borderId="0" xfId="2" applyNumberFormat="1" applyFont="1" applyFill="1" applyBorder="1" applyAlignment="1">
      <alignment horizontal="center" vertical="center"/>
    </xf>
    <xf numFmtId="0" fontId="8" fillId="0" borderId="0" xfId="2" applyBorder="1" applyAlignment="1">
      <alignment horizontal="center"/>
    </xf>
    <xf numFmtId="0" fontId="35" fillId="2" borderId="0" xfId="2" applyFont="1" applyFill="1" applyBorder="1"/>
    <xf numFmtId="0" fontId="12" fillId="31" borderId="66" xfId="2" applyFont="1" applyFill="1" applyBorder="1" applyAlignment="1">
      <alignment horizontal="center" vertical="center" textRotation="90" wrapText="1"/>
    </xf>
    <xf numFmtId="0" fontId="12" fillId="31" borderId="67" xfId="2" applyFont="1" applyFill="1" applyBorder="1" applyAlignment="1">
      <alignment horizontal="center" vertical="center" textRotation="90" wrapText="1"/>
    </xf>
    <xf numFmtId="41" fontId="35" fillId="0" borderId="8" xfId="2" applyNumberFormat="1" applyFont="1" applyFill="1" applyBorder="1" applyAlignment="1">
      <alignment horizontal="center" vertical="center"/>
    </xf>
    <xf numFmtId="41" fontId="35" fillId="0" borderId="5" xfId="2" applyNumberFormat="1" applyFont="1" applyFill="1" applyBorder="1" applyAlignment="1">
      <alignment horizontal="center" vertical="center"/>
    </xf>
    <xf numFmtId="41" fontId="14" fillId="0" borderId="5" xfId="2" applyNumberFormat="1" applyFont="1" applyFill="1" applyBorder="1" applyAlignment="1">
      <alignment horizontal="center" vertical="center"/>
    </xf>
    <xf numFmtId="0" fontId="8" fillId="0" borderId="47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41" fontId="35" fillId="0" borderId="36" xfId="2" applyNumberFormat="1" applyFont="1" applyFill="1" applyBorder="1" applyAlignment="1">
      <alignment vertical="center" wrapText="1"/>
    </xf>
    <xf numFmtId="41" fontId="35" fillId="0" borderId="5" xfId="2" applyNumberFormat="1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Protection="1"/>
    <xf numFmtId="0" fontId="39" fillId="2" borderId="18" xfId="2" applyFont="1" applyFill="1" applyBorder="1" applyAlignment="1"/>
    <xf numFmtId="0" fontId="80" fillId="2" borderId="18" xfId="2" applyFont="1" applyFill="1" applyBorder="1" applyAlignment="1"/>
    <xf numFmtId="0" fontId="12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35" fillId="31" borderId="66" xfId="2" applyFont="1" applyFill="1" applyBorder="1" applyAlignment="1">
      <alignment horizontal="center" vertical="center" wrapText="1"/>
    </xf>
    <xf numFmtId="0" fontId="35" fillId="31" borderId="67" xfId="2" applyFont="1" applyFill="1" applyBorder="1" applyAlignment="1">
      <alignment horizontal="center" vertical="center" wrapText="1"/>
    </xf>
    <xf numFmtId="0" fontId="8" fillId="0" borderId="46" xfId="2" applyFill="1" applyBorder="1" applyAlignment="1">
      <alignment horizontal="center"/>
    </xf>
    <xf numFmtId="41" fontId="35" fillId="0" borderId="47" xfId="2" applyNumberFormat="1" applyFont="1" applyFill="1" applyBorder="1" applyAlignment="1">
      <alignment horizontal="center" vertical="center"/>
    </xf>
    <xf numFmtId="0" fontId="8" fillId="0" borderId="48" xfId="2" applyFill="1" applyBorder="1" applyAlignment="1">
      <alignment horizontal="center"/>
    </xf>
    <xf numFmtId="41" fontId="35" fillId="0" borderId="48" xfId="2" applyNumberFormat="1" applyFont="1" applyFill="1" applyBorder="1" applyAlignment="1">
      <alignment vertical="center" wrapText="1"/>
    </xf>
    <xf numFmtId="41" fontId="35" fillId="0" borderId="4" xfId="2" applyNumberFormat="1" applyFont="1" applyFill="1" applyBorder="1" applyAlignment="1">
      <alignment horizontal="center" vertical="center"/>
    </xf>
    <xf numFmtId="41" fontId="14" fillId="0" borderId="46" xfId="2" applyNumberFormat="1" applyFont="1" applyFill="1" applyBorder="1" applyAlignment="1">
      <alignment vertical="center" wrapText="1"/>
    </xf>
    <xf numFmtId="41" fontId="14" fillId="0" borderId="48" xfId="2" applyNumberFormat="1" applyFont="1" applyFill="1" applyBorder="1" applyAlignment="1">
      <alignment vertical="center" wrapText="1"/>
    </xf>
    <xf numFmtId="41" fontId="8" fillId="0" borderId="48" xfId="2" applyNumberFormat="1" applyFont="1" applyFill="1" applyBorder="1" applyAlignment="1">
      <alignment vertical="center" wrapText="1"/>
    </xf>
    <xf numFmtId="41" fontId="8" fillId="0" borderId="46" xfId="2" applyNumberFormat="1" applyFont="1" applyFill="1" applyBorder="1" applyAlignment="1">
      <alignment vertical="center" wrapText="1"/>
    </xf>
    <xf numFmtId="41" fontId="12" fillId="0" borderId="46" xfId="2" applyNumberFormat="1" applyFont="1" applyFill="1" applyBorder="1" applyAlignment="1">
      <alignment vertical="center" wrapText="1"/>
    </xf>
    <xf numFmtId="41" fontId="12" fillId="0" borderId="48" xfId="2" applyNumberFormat="1" applyFont="1" applyFill="1" applyBorder="1" applyAlignment="1">
      <alignment vertical="center" wrapText="1"/>
    </xf>
    <xf numFmtId="41" fontId="14" fillId="35" borderId="37" xfId="2" applyNumberFormat="1" applyFont="1" applyFill="1" applyBorder="1" applyAlignment="1">
      <alignment horizontal="center" vertical="center"/>
    </xf>
    <xf numFmtId="41" fontId="14" fillId="35" borderId="6" xfId="2" applyNumberFormat="1" applyFont="1" applyFill="1" applyBorder="1" applyAlignment="1">
      <alignment horizontal="center" vertical="center"/>
    </xf>
    <xf numFmtId="41" fontId="14" fillId="38" borderId="37" xfId="2" applyNumberFormat="1" applyFont="1" applyFill="1" applyBorder="1" applyAlignment="1">
      <alignment horizontal="center" vertical="center"/>
    </xf>
    <xf numFmtId="41" fontId="14" fillId="38" borderId="6" xfId="2" applyNumberFormat="1" applyFont="1" applyFill="1" applyBorder="1" applyAlignment="1">
      <alignment horizontal="center" vertical="center"/>
    </xf>
    <xf numFmtId="41" fontId="14" fillId="41" borderId="37" xfId="2" applyNumberFormat="1" applyFont="1" applyFill="1" applyBorder="1" applyAlignment="1">
      <alignment horizontal="center" vertical="center"/>
    </xf>
    <xf numFmtId="41" fontId="14" fillId="41" borderId="6" xfId="2" applyNumberFormat="1" applyFont="1" applyFill="1" applyBorder="1" applyAlignment="1">
      <alignment horizontal="center" vertical="center"/>
    </xf>
    <xf numFmtId="0" fontId="8" fillId="0" borderId="54" xfId="2" applyFill="1" applyBorder="1" applyAlignment="1">
      <alignment horizontal="center"/>
    </xf>
    <xf numFmtId="41" fontId="14" fillId="0" borderId="54" xfId="2" applyNumberFormat="1" applyFont="1" applyFill="1" applyBorder="1" applyAlignment="1">
      <alignment vertical="center" wrapText="1"/>
    </xf>
    <xf numFmtId="41" fontId="35" fillId="0" borderId="39" xfId="2" applyNumberFormat="1" applyFont="1" applyFill="1" applyBorder="1" applyAlignment="1">
      <alignment horizontal="center" vertical="center"/>
    </xf>
    <xf numFmtId="0" fontId="85" fillId="0" borderId="0" xfId="2" applyFont="1" applyFill="1" applyBorder="1"/>
    <xf numFmtId="0" fontId="86" fillId="0" borderId="0" xfId="2" applyFont="1" applyFill="1" applyBorder="1"/>
    <xf numFmtId="0" fontId="35" fillId="31" borderId="68" xfId="2" applyFont="1" applyFill="1" applyBorder="1" applyAlignment="1">
      <alignment horizontal="center" vertical="center" wrapText="1"/>
    </xf>
    <xf numFmtId="0" fontId="42" fillId="3" borderId="18" xfId="2" applyFont="1" applyFill="1" applyBorder="1" applyAlignment="1"/>
    <xf numFmtId="0" fontId="64" fillId="3" borderId="18" xfId="0" applyFont="1" applyFill="1" applyBorder="1"/>
    <xf numFmtId="0" fontId="88" fillId="0" borderId="0" xfId="0" applyFont="1"/>
    <xf numFmtId="0" fontId="88" fillId="0" borderId="0" xfId="0" applyFont="1" applyFill="1"/>
    <xf numFmtId="0" fontId="88" fillId="0" borderId="0" xfId="0" applyFont="1" applyFill="1" applyAlignment="1">
      <alignment horizontal="left" indent="2"/>
    </xf>
    <xf numFmtId="0" fontId="88" fillId="0" borderId="0" xfId="0" applyFont="1" applyAlignment="1">
      <alignment horizontal="left" indent="1"/>
    </xf>
    <xf numFmtId="0" fontId="88" fillId="0" borderId="0" xfId="0" applyFont="1" applyAlignment="1">
      <alignment horizontal="left" indent="3"/>
    </xf>
    <xf numFmtId="0" fontId="88" fillId="0" borderId="0" xfId="0" applyFont="1" applyAlignment="1">
      <alignment wrapText="1"/>
    </xf>
    <xf numFmtId="0" fontId="88" fillId="0" borderId="0" xfId="0" applyFont="1" applyAlignment="1">
      <alignment horizontal="left" wrapText="1"/>
    </xf>
    <xf numFmtId="0" fontId="88" fillId="0" borderId="0" xfId="0" applyFont="1" applyAlignment="1">
      <alignment horizontal="left" indent="2"/>
    </xf>
    <xf numFmtId="0" fontId="88" fillId="0" borderId="0" xfId="0" applyFont="1" applyAlignment="1">
      <alignment horizontal="left" indent="5"/>
    </xf>
    <xf numFmtId="0" fontId="88" fillId="42" borderId="3" xfId="0" applyFont="1" applyFill="1" applyBorder="1"/>
    <xf numFmtId="0" fontId="88" fillId="44" borderId="3" xfId="0" applyFont="1" applyFill="1" applyBorder="1"/>
    <xf numFmtId="0" fontId="87" fillId="45" borderId="3" xfId="0" applyFont="1" applyFill="1" applyBorder="1"/>
    <xf numFmtId="0" fontId="87" fillId="45" borderId="3" xfId="0" applyFont="1" applyFill="1" applyBorder="1" applyAlignment="1">
      <alignment horizontal="left"/>
    </xf>
    <xf numFmtId="0" fontId="35" fillId="2" borderId="0" xfId="2" applyFont="1" applyFill="1" applyAlignment="1">
      <alignment horizontal="center" vertical="center"/>
    </xf>
    <xf numFmtId="0" fontId="88" fillId="0" borderId="0" xfId="0" applyFont="1" applyBorder="1" applyAlignment="1">
      <alignment horizontal="left" indent="1"/>
    </xf>
    <xf numFmtId="0" fontId="88" fillId="0" borderId="0" xfId="0" applyFont="1" applyBorder="1"/>
    <xf numFmtId="0" fontId="88" fillId="46" borderId="3" xfId="0" applyFont="1" applyFill="1" applyBorder="1"/>
    <xf numFmtId="0" fontId="92" fillId="41" borderId="3" xfId="0" applyFont="1" applyFill="1" applyBorder="1" applyAlignment="1">
      <alignment horizontal="left" indent="3"/>
    </xf>
    <xf numFmtId="0" fontId="92" fillId="36" borderId="3" xfId="0" applyFont="1" applyFill="1" applyBorder="1" applyAlignment="1">
      <alignment horizontal="left" indent="3"/>
    </xf>
    <xf numFmtId="0" fontId="92" fillId="45" borderId="3" xfId="0" applyFont="1" applyFill="1" applyBorder="1" applyAlignment="1">
      <alignment horizontal="left" indent="3"/>
    </xf>
    <xf numFmtId="0" fontId="90" fillId="46" borderId="3" xfId="0" applyFont="1" applyFill="1" applyBorder="1" applyAlignment="1">
      <alignment horizontal="left" indent="2"/>
    </xf>
    <xf numFmtId="0" fontId="87" fillId="46" borderId="3" xfId="0" applyFont="1" applyFill="1" applyBorder="1" applyAlignment="1">
      <alignment horizontal="left"/>
    </xf>
    <xf numFmtId="0" fontId="94" fillId="0" borderId="0" xfId="2" applyFont="1"/>
    <xf numFmtId="0" fontId="8" fillId="2" borderId="0" xfId="2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41" borderId="3" xfId="2" applyFont="1" applyFill="1" applyBorder="1" applyAlignment="1">
      <alignment horizontal="center" vertical="center" wrapText="1"/>
    </xf>
    <xf numFmtId="0" fontId="90" fillId="42" borderId="3" xfId="0" applyFont="1" applyFill="1" applyBorder="1" applyAlignment="1">
      <alignment horizontal="left" indent="3"/>
    </xf>
    <xf numFmtId="0" fontId="88" fillId="0" borderId="20" xfId="0" applyFont="1" applyFill="1" applyBorder="1"/>
    <xf numFmtId="0" fontId="88" fillId="0" borderId="0" xfId="0" applyFont="1" applyFill="1" applyBorder="1"/>
    <xf numFmtId="0" fontId="12" fillId="31" borderId="118" xfId="2" applyFont="1" applyFill="1" applyBorder="1" applyAlignment="1">
      <alignment horizontal="center" vertical="center" wrapText="1"/>
    </xf>
    <xf numFmtId="0" fontId="20" fillId="0" borderId="119" xfId="2" applyFont="1" applyFill="1" applyBorder="1" applyAlignment="1">
      <alignment horizontal="center" vertical="center"/>
    </xf>
    <xf numFmtId="165" fontId="20" fillId="0" borderId="120" xfId="30" applyNumberFormat="1" applyFont="1" applyFill="1" applyBorder="1" applyAlignment="1">
      <alignment horizontal="center" vertical="center"/>
    </xf>
    <xf numFmtId="165" fontId="20" fillId="0" borderId="120" xfId="30" applyNumberFormat="1" applyFont="1" applyFill="1" applyBorder="1" applyAlignment="1">
      <alignment horizontal="left" vertical="center"/>
    </xf>
    <xf numFmtId="165" fontId="12" fillId="0" borderId="120" xfId="30" applyNumberFormat="1" applyFont="1" applyFill="1" applyBorder="1" applyAlignment="1">
      <alignment horizontal="left" vertical="center"/>
    </xf>
    <xf numFmtId="165" fontId="20" fillId="2" borderId="120" xfId="30" applyNumberFormat="1" applyFont="1" applyFill="1" applyBorder="1" applyAlignment="1">
      <alignment vertical="center"/>
    </xf>
    <xf numFmtId="165" fontId="20" fillId="2" borderId="121" xfId="30" applyNumberFormat="1" applyFont="1" applyFill="1" applyBorder="1" applyAlignment="1">
      <alignment vertical="center"/>
    </xf>
    <xf numFmtId="0" fontId="12" fillId="31" borderId="67" xfId="2" applyFont="1" applyFill="1" applyBorder="1" applyAlignment="1">
      <alignment horizontal="center" vertical="center" wrapText="1"/>
    </xf>
    <xf numFmtId="0" fontId="50" fillId="2" borderId="0" xfId="2" applyFont="1" applyFill="1" applyBorder="1" applyAlignment="1">
      <alignment horizontal="center" vertical="center"/>
    </xf>
    <xf numFmtId="0" fontId="80" fillId="0" borderId="0" xfId="2" applyFont="1" applyAlignment="1"/>
    <xf numFmtId="41" fontId="12" fillId="0" borderId="46" xfId="2" applyNumberFormat="1" applyFont="1" applyFill="1" applyBorder="1" applyAlignment="1">
      <alignment horizontal="left" vertical="center" wrapText="1"/>
    </xf>
    <xf numFmtId="49" fontId="59" fillId="0" borderId="24" xfId="2" applyNumberFormat="1" applyFont="1" applyFill="1" applyBorder="1" applyAlignment="1">
      <alignment vertical="center" wrapText="1"/>
    </xf>
    <xf numFmtId="0" fontId="87" fillId="41" borderId="3" xfId="0" applyFont="1" applyFill="1" applyBorder="1" applyAlignment="1">
      <alignment horizontal="center" vertical="center"/>
    </xf>
    <xf numFmtId="0" fontId="87" fillId="41" borderId="3" xfId="0" applyFont="1" applyFill="1" applyBorder="1" applyAlignment="1">
      <alignment horizontal="center" vertical="center" wrapText="1"/>
    </xf>
    <xf numFmtId="0" fontId="96" fillId="2" borderId="18" xfId="2" applyFont="1" applyFill="1" applyBorder="1" applyAlignment="1"/>
    <xf numFmtId="0" fontId="20" fillId="2" borderId="20" xfId="2" applyFont="1" applyFill="1" applyBorder="1" applyAlignment="1"/>
    <xf numFmtId="0" fontId="95" fillId="2" borderId="0" xfId="2" applyFont="1" applyFill="1" applyBorder="1" applyAlignment="1">
      <alignment wrapText="1"/>
    </xf>
    <xf numFmtId="0" fontId="95" fillId="2" borderId="0" xfId="2" applyFont="1" applyFill="1" applyBorder="1" applyAlignment="1"/>
    <xf numFmtId="0" fontId="12" fillId="0" borderId="45" xfId="2" applyFont="1" applyBorder="1"/>
    <xf numFmtId="0" fontId="92" fillId="0" borderId="20" xfId="0" applyFont="1" applyFill="1" applyBorder="1" applyAlignment="1">
      <alignment horizontal="left" indent="3"/>
    </xf>
    <xf numFmtId="0" fontId="98" fillId="2" borderId="0" xfId="2" applyFont="1" applyFill="1" applyBorder="1" applyAlignment="1"/>
    <xf numFmtId="0" fontId="65" fillId="0" borderId="0" xfId="0" applyFont="1" applyAlignment="1"/>
    <xf numFmtId="0" fontId="65" fillId="0" borderId="3" xfId="0" applyFont="1" applyBorder="1"/>
    <xf numFmtId="0" fontId="101" fillId="0" borderId="3" xfId="0" applyFont="1" applyBorder="1"/>
    <xf numFmtId="0" fontId="101" fillId="47" borderId="0" xfId="0" applyFont="1" applyFill="1"/>
    <xf numFmtId="0" fontId="102" fillId="0" borderId="0" xfId="0" applyFont="1"/>
    <xf numFmtId="0" fontId="64" fillId="0" borderId="45" xfId="0" applyFont="1" applyBorder="1"/>
    <xf numFmtId="0" fontId="65" fillId="41" borderId="0" xfId="0" applyFont="1" applyFill="1"/>
    <xf numFmtId="0" fontId="64" fillId="41" borderId="0" xfId="0" applyFont="1" applyFill="1"/>
    <xf numFmtId="0" fontId="8" fillId="0" borderId="0" xfId="2" applyFont="1" applyAlignment="1">
      <alignment vertical="center"/>
    </xf>
    <xf numFmtId="0" fontId="8" fillId="0" borderId="4" xfId="2" applyFont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0" fontId="8" fillId="0" borderId="5" xfId="2" applyFont="1" applyBorder="1" applyAlignment="1">
      <alignment vertical="center"/>
    </xf>
    <xf numFmtId="0" fontId="8" fillId="0" borderId="50" xfId="2" applyFont="1" applyBorder="1" applyAlignment="1">
      <alignment vertical="center" wrapText="1"/>
    </xf>
    <xf numFmtId="0" fontId="8" fillId="0" borderId="52" xfId="2" applyFont="1" applyBorder="1" applyAlignment="1">
      <alignment vertical="center" wrapText="1"/>
    </xf>
    <xf numFmtId="0" fontId="8" fillId="0" borderId="52" xfId="2" applyFont="1" applyBorder="1" applyAlignment="1">
      <alignment vertical="center"/>
    </xf>
    <xf numFmtId="0" fontId="14" fillId="41" borderId="3" xfId="2" applyFont="1" applyFill="1" applyBorder="1" applyAlignment="1">
      <alignment horizontal="left" vertical="center" wrapText="1"/>
    </xf>
    <xf numFmtId="3" fontId="14" fillId="41" borderId="3" xfId="2" applyNumberFormat="1" applyFont="1" applyFill="1" applyBorder="1" applyAlignment="1">
      <alignment horizontal="center" vertical="center" wrapText="1"/>
    </xf>
    <xf numFmtId="166" fontId="35" fillId="41" borderId="3" xfId="1" applyNumberFormat="1" applyFont="1" applyFill="1" applyBorder="1" applyAlignment="1">
      <alignment horizontal="right" vertical="center"/>
    </xf>
    <xf numFmtId="0" fontId="88" fillId="43" borderId="27" xfId="0" applyFont="1" applyFill="1" applyBorder="1"/>
    <xf numFmtId="0" fontId="88" fillId="43" borderId="29" xfId="0" applyFont="1" applyFill="1" applyBorder="1"/>
    <xf numFmtId="0" fontId="88" fillId="43" borderId="30" xfId="0" applyFont="1" applyFill="1" applyBorder="1"/>
    <xf numFmtId="0" fontId="88" fillId="36" borderId="3" xfId="0" applyFont="1" applyFill="1" applyBorder="1" applyProtection="1">
      <protection locked="0"/>
    </xf>
    <xf numFmtId="0" fontId="88" fillId="41" borderId="3" xfId="0" applyFont="1" applyFill="1" applyBorder="1" applyAlignment="1" applyProtection="1">
      <alignment horizontal="center" vertical="center"/>
      <protection hidden="1"/>
    </xf>
    <xf numFmtId="0" fontId="73" fillId="2" borderId="0" xfId="48" applyFont="1" applyFill="1" applyAlignment="1">
      <alignment horizontal="center" wrapText="1"/>
    </xf>
    <xf numFmtId="0" fontId="107" fillId="41" borderId="3" xfId="2" applyFont="1" applyFill="1" applyBorder="1" applyAlignment="1">
      <alignment horizontal="center" vertical="center" textRotation="90" wrapText="1"/>
    </xf>
    <xf numFmtId="0" fontId="108" fillId="2" borderId="0" xfId="2" applyFont="1" applyFill="1" applyBorder="1" applyAlignment="1">
      <alignment horizontal="center" vertical="center"/>
    </xf>
    <xf numFmtId="0" fontId="109" fillId="2" borderId="0" xfId="2" applyFont="1" applyFill="1" applyBorder="1" applyAlignment="1">
      <alignment horizontal="center" vertical="center"/>
    </xf>
    <xf numFmtId="0" fontId="108" fillId="2" borderId="18" xfId="2" applyFont="1" applyFill="1" applyBorder="1" applyAlignment="1">
      <alignment horizontal="center" vertical="center"/>
    </xf>
    <xf numFmtId="0" fontId="108" fillId="2" borderId="20" xfId="2" applyFont="1" applyFill="1" applyBorder="1" applyAlignment="1">
      <alignment horizontal="center" vertical="center"/>
    </xf>
    <xf numFmtId="0" fontId="108" fillId="0" borderId="0" xfId="2" applyFont="1" applyAlignment="1">
      <alignment horizontal="center" vertical="center"/>
    </xf>
    <xf numFmtId="41" fontId="35" fillId="0" borderId="50" xfId="2" applyNumberFormat="1" applyFont="1" applyFill="1" applyBorder="1" applyAlignment="1">
      <alignment horizontal="center" vertical="center"/>
    </xf>
    <xf numFmtId="41" fontId="35" fillId="0" borderId="52" xfId="2" applyNumberFormat="1" applyFont="1" applyFill="1" applyBorder="1" applyAlignment="1">
      <alignment horizontal="center" vertical="center"/>
    </xf>
    <xf numFmtId="165" fontId="20" fillId="0" borderId="36" xfId="30" applyNumberFormat="1" applyFont="1" applyBorder="1" applyAlignment="1" applyProtection="1">
      <alignment vertical="center"/>
      <protection locked="0"/>
    </xf>
    <xf numFmtId="165" fontId="108" fillId="37" borderId="36" xfId="30" applyNumberFormat="1" applyFont="1" applyFill="1" applyBorder="1" applyAlignment="1" applyProtection="1">
      <alignment horizontal="center" vertical="center"/>
      <protection locked="0"/>
    </xf>
    <xf numFmtId="165" fontId="20" fillId="0" borderId="36" xfId="30" applyNumberFormat="1" applyFont="1" applyBorder="1" applyAlignment="1" applyProtection="1">
      <alignment horizontal="center" vertical="center"/>
      <protection locked="0"/>
    </xf>
    <xf numFmtId="165" fontId="20" fillId="0" borderId="37" xfId="30" applyNumberFormat="1" applyFont="1" applyBorder="1" applyAlignment="1" applyProtection="1">
      <alignment horizontal="center" vertical="center"/>
      <protection locked="0"/>
    </xf>
    <xf numFmtId="0" fontId="20" fillId="0" borderId="4" xfId="2" applyFont="1" applyBorder="1" applyAlignment="1" applyProtection="1">
      <alignment vertical="center"/>
      <protection locked="0"/>
    </xf>
    <xf numFmtId="165" fontId="20" fillId="0" borderId="5" xfId="30" applyNumberFormat="1" applyFont="1" applyBorder="1" applyAlignment="1" applyProtection="1">
      <alignment vertical="center"/>
      <protection locked="0"/>
    </xf>
    <xf numFmtId="165" fontId="108" fillId="37" borderId="5" xfId="30" applyNumberFormat="1" applyFont="1" applyFill="1" applyBorder="1" applyAlignment="1" applyProtection="1">
      <alignment horizontal="center" vertical="center"/>
      <protection locked="0"/>
    </xf>
    <xf numFmtId="165" fontId="20" fillId="0" borderId="5" xfId="30" applyNumberFormat="1" applyFont="1" applyBorder="1" applyAlignment="1" applyProtection="1">
      <alignment horizontal="center" vertical="center"/>
      <protection locked="0"/>
    </xf>
    <xf numFmtId="165" fontId="20" fillId="0" borderId="6" xfId="30" applyNumberFormat="1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left" vertical="center"/>
    </xf>
    <xf numFmtId="0" fontId="8" fillId="0" borderId="3" xfId="2" applyBorder="1" applyAlignment="1" applyProtection="1">
      <alignment horizontal="left" vertical="center"/>
    </xf>
    <xf numFmtId="0" fontId="105" fillId="0" borderId="56" xfId="2" quotePrefix="1" applyFont="1" applyBorder="1" applyAlignment="1" applyProtection="1">
      <alignment horizontal="center"/>
    </xf>
    <xf numFmtId="0" fontId="8" fillId="0" borderId="0" xfId="2" applyProtection="1"/>
    <xf numFmtId="0" fontId="105" fillId="0" borderId="3" xfId="2" quotePrefix="1" applyFont="1" applyBorder="1" applyAlignment="1" applyProtection="1">
      <alignment horizontal="center"/>
    </xf>
    <xf numFmtId="0" fontId="8" fillId="0" borderId="47" xfId="2" applyFont="1" applyFill="1" applyBorder="1" applyAlignment="1" applyProtection="1">
      <alignment horizontal="center"/>
      <protection locked="0"/>
    </xf>
    <xf numFmtId="41" fontId="35" fillId="0" borderId="36" xfId="2" applyNumberFormat="1" applyFont="1" applyFill="1" applyBorder="1" applyAlignment="1" applyProtection="1">
      <alignment vertical="center" wrapText="1"/>
      <protection locked="0"/>
    </xf>
    <xf numFmtId="41" fontId="99" fillId="0" borderId="36" xfId="2" applyNumberFormat="1" applyFont="1" applyFill="1" applyBorder="1" applyAlignment="1" applyProtection="1">
      <alignment horizontal="left" vertical="center" wrapText="1"/>
      <protection locked="0"/>
    </xf>
    <xf numFmtId="0" fontId="100" fillId="0" borderId="119" xfId="0" applyFont="1" applyBorder="1" applyAlignment="1" applyProtection="1">
      <alignment horizontal="center" vertical="center"/>
      <protection locked="0"/>
    </xf>
    <xf numFmtId="0" fontId="64" fillId="0" borderId="47" xfId="0" applyFont="1" applyBorder="1" applyAlignment="1" applyProtection="1">
      <alignment horizontal="center" vertical="center"/>
      <protection locked="0"/>
    </xf>
    <xf numFmtId="165" fontId="64" fillId="0" borderId="37" xfId="1" applyNumberFormat="1" applyFont="1" applyBorder="1" applyAlignment="1" applyProtection="1">
      <alignment vertical="center"/>
      <protection locked="0"/>
    </xf>
    <xf numFmtId="165" fontId="64" fillId="0" borderId="47" xfId="1" applyNumberFormat="1" applyFont="1" applyBorder="1" applyAlignment="1" applyProtection="1">
      <alignment vertical="center"/>
      <protection locked="0"/>
    </xf>
    <xf numFmtId="0" fontId="8" fillId="0" borderId="4" xfId="2" applyFont="1" applyFill="1" applyBorder="1" applyAlignment="1" applyProtection="1">
      <alignment horizontal="center"/>
      <protection locked="0"/>
    </xf>
    <xf numFmtId="41" fontId="35" fillId="0" borderId="5" xfId="2" applyNumberFormat="1" applyFont="1" applyFill="1" applyBorder="1" applyAlignment="1" applyProtection="1">
      <alignment vertical="center" wrapText="1"/>
      <protection locked="0"/>
    </xf>
    <xf numFmtId="41" fontId="99" fillId="0" borderId="5" xfId="2" applyNumberFormat="1" applyFont="1" applyFill="1" applyBorder="1" applyAlignment="1" applyProtection="1">
      <alignment vertical="center" wrapText="1"/>
      <protection locked="0"/>
    </xf>
    <xf numFmtId="0" fontId="100" fillId="0" borderId="120" xfId="0" applyFont="1" applyBorder="1" applyAlignment="1" applyProtection="1">
      <alignment horizontal="center" vertical="center"/>
      <protection locked="0"/>
    </xf>
    <xf numFmtId="0" fontId="64" fillId="0" borderId="4" xfId="0" applyFont="1" applyBorder="1" applyAlignment="1" applyProtection="1">
      <alignment horizontal="center" vertical="center"/>
      <protection locked="0"/>
    </xf>
    <xf numFmtId="165" fontId="64" fillId="0" borderId="6" xfId="1" applyNumberFormat="1" applyFont="1" applyBorder="1" applyAlignment="1" applyProtection="1">
      <alignment vertical="center"/>
      <protection locked="0"/>
    </xf>
    <xf numFmtId="164" fontId="64" fillId="42" borderId="3" xfId="1" applyNumberFormat="1" applyFont="1" applyFill="1" applyBorder="1" applyAlignment="1" applyProtection="1">
      <alignment vertical="center"/>
      <protection locked="0"/>
    </xf>
    <xf numFmtId="43" fontId="64" fillId="42" borderId="3" xfId="1" applyFont="1" applyFill="1" applyBorder="1" applyAlignment="1" applyProtection="1">
      <alignment vertical="center"/>
      <protection locked="0"/>
    </xf>
    <xf numFmtId="0" fontId="103" fillId="0" borderId="119" xfId="0" applyFont="1" applyBorder="1" applyProtection="1">
      <protection locked="0"/>
    </xf>
    <xf numFmtId="1" fontId="64" fillId="0" borderId="47" xfId="1" applyNumberFormat="1" applyFont="1" applyBorder="1" applyAlignment="1" applyProtection="1">
      <alignment horizontal="center" vertical="center"/>
      <protection locked="0"/>
    </xf>
    <xf numFmtId="0" fontId="103" fillId="0" borderId="120" xfId="0" applyFont="1" applyBorder="1" applyProtection="1">
      <protection locked="0"/>
    </xf>
    <xf numFmtId="1" fontId="64" fillId="0" borderId="4" xfId="0" applyNumberFormat="1" applyFont="1" applyBorder="1" applyProtection="1">
      <protection locked="0"/>
    </xf>
    <xf numFmtId="43" fontId="64" fillId="42" borderId="3" xfId="1" applyFont="1" applyFill="1" applyBorder="1" applyAlignment="1" applyProtection="1">
      <alignment horizontal="center" vertical="center"/>
      <protection locked="0"/>
    </xf>
    <xf numFmtId="41" fontId="35" fillId="0" borderId="119" xfId="2" applyNumberFormat="1" applyFont="1" applyFill="1" applyBorder="1" applyAlignment="1" applyProtection="1">
      <alignment vertical="center" wrapText="1"/>
      <protection locked="0"/>
    </xf>
    <xf numFmtId="0" fontId="103" fillId="0" borderId="37" xfId="0" applyFont="1" applyBorder="1" applyAlignment="1" applyProtection="1">
      <alignment horizontal="center" vertical="center"/>
      <protection locked="0"/>
    </xf>
    <xf numFmtId="0" fontId="64" fillId="0" borderId="37" xfId="0" applyFont="1" applyBorder="1" applyProtection="1">
      <protection locked="0"/>
    </xf>
    <xf numFmtId="41" fontId="35" fillId="0" borderId="120" xfId="2" applyNumberFormat="1" applyFont="1" applyFill="1" applyBorder="1" applyAlignment="1" applyProtection="1">
      <alignment vertical="center" wrapText="1"/>
      <protection locked="0"/>
    </xf>
    <xf numFmtId="41" fontId="103" fillId="0" borderId="4" xfId="2" applyNumberFormat="1" applyFont="1" applyFill="1" applyBorder="1" applyAlignment="1" applyProtection="1">
      <alignment vertical="center" wrapText="1"/>
      <protection locked="0"/>
    </xf>
    <xf numFmtId="0" fontId="103" fillId="0" borderId="6" xfId="0" applyFont="1" applyBorder="1" applyAlignment="1" applyProtection="1">
      <alignment horizontal="center" vertical="center"/>
      <protection locked="0"/>
    </xf>
    <xf numFmtId="1" fontId="64" fillId="0" borderId="4" xfId="0" applyNumberFormat="1" applyFont="1" applyBorder="1" applyAlignment="1" applyProtection="1">
      <alignment horizontal="center" vertical="center"/>
      <protection locked="0"/>
    </xf>
    <xf numFmtId="2" fontId="64" fillId="0" borderId="6" xfId="0" applyNumberFormat="1" applyFont="1" applyBorder="1" applyProtection="1">
      <protection locked="0"/>
    </xf>
    <xf numFmtId="0" fontId="64" fillId="0" borderId="6" xfId="0" applyFont="1" applyBorder="1" applyProtection="1">
      <protection locked="0"/>
    </xf>
    <xf numFmtId="1" fontId="64" fillId="42" borderId="3" xfId="1" applyNumberFormat="1" applyFont="1" applyFill="1" applyBorder="1" applyAlignment="1" applyProtection="1">
      <alignment horizontal="center" vertical="center"/>
      <protection locked="0"/>
    </xf>
    <xf numFmtId="2" fontId="64" fillId="42" borderId="3" xfId="1" applyNumberFormat="1" applyFont="1" applyFill="1" applyBorder="1" applyAlignment="1" applyProtection="1">
      <alignment horizontal="center" vertical="center"/>
      <protection locked="0"/>
    </xf>
    <xf numFmtId="41" fontId="99" fillId="0" borderId="36" xfId="2" applyNumberFormat="1" applyFont="1" applyFill="1" applyBorder="1" applyAlignment="1" applyProtection="1">
      <alignment vertical="center" wrapText="1"/>
      <protection locked="0"/>
    </xf>
    <xf numFmtId="2" fontId="64" fillId="0" borderId="47" xfId="0" applyNumberFormat="1" applyFont="1" applyBorder="1" applyAlignment="1" applyProtection="1">
      <alignment horizontal="center" vertical="center"/>
      <protection locked="0"/>
    </xf>
    <xf numFmtId="2" fontId="64" fillId="0" borderId="4" xfId="0" applyNumberFormat="1" applyFont="1" applyBorder="1" applyAlignment="1" applyProtection="1">
      <alignment horizontal="center" vertical="center"/>
      <protection locked="0"/>
    </xf>
    <xf numFmtId="2" fontId="64" fillId="42" borderId="3" xfId="0" applyNumberFormat="1" applyFont="1" applyFill="1" applyBorder="1" applyAlignment="1" applyProtection="1">
      <alignment horizontal="center" vertical="center"/>
      <protection locked="0"/>
    </xf>
    <xf numFmtId="0" fontId="64" fillId="42" borderId="3" xfId="0" applyFont="1" applyFill="1" applyBorder="1" applyProtection="1">
      <protection locked="0"/>
    </xf>
    <xf numFmtId="1" fontId="64" fillId="0" borderId="4" xfId="1" applyNumberFormat="1" applyFont="1" applyBorder="1" applyAlignment="1" applyProtection="1">
      <alignment horizontal="center" vertical="center"/>
      <protection locked="0"/>
    </xf>
    <xf numFmtId="167" fontId="64" fillId="0" borderId="37" xfId="1" applyNumberFormat="1" applyFont="1" applyBorder="1" applyAlignment="1" applyProtection="1">
      <alignment vertical="center"/>
      <protection locked="0"/>
    </xf>
    <xf numFmtId="167" fontId="64" fillId="0" borderId="6" xfId="1" applyNumberFormat="1" applyFont="1" applyBorder="1" applyAlignment="1" applyProtection="1">
      <alignment vertical="center"/>
      <protection locked="0"/>
    </xf>
    <xf numFmtId="167" fontId="64" fillId="0" borderId="6" xfId="1" applyNumberFormat="1" applyFont="1" applyBorder="1" applyProtection="1">
      <protection locked="0"/>
    </xf>
    <xf numFmtId="168" fontId="64" fillId="42" borderId="3" xfId="0" applyNumberFormat="1" applyFont="1" applyFill="1" applyBorder="1" applyAlignment="1" applyProtection="1">
      <alignment horizontal="center" vertical="center"/>
      <protection locked="0"/>
    </xf>
    <xf numFmtId="1" fontId="64" fillId="41" borderId="3" xfId="1" applyNumberFormat="1" applyFont="1" applyFill="1" applyBorder="1" applyAlignment="1" applyProtection="1">
      <alignment horizontal="center" vertical="center"/>
      <protection locked="0"/>
    </xf>
    <xf numFmtId="168" fontId="64" fillId="41" borderId="3" xfId="0" applyNumberFormat="1" applyFont="1" applyFill="1" applyBorder="1" applyAlignment="1" applyProtection="1">
      <alignment horizontal="center" vertical="center"/>
      <protection locked="0"/>
    </xf>
    <xf numFmtId="2" fontId="64" fillId="41" borderId="3" xfId="0" applyNumberFormat="1" applyFont="1" applyFill="1" applyBorder="1" applyAlignment="1" applyProtection="1">
      <alignment horizontal="center" vertical="center"/>
      <protection locked="0"/>
    </xf>
    <xf numFmtId="49" fontId="12" fillId="49" borderId="25" xfId="2" applyNumberFormat="1" applyFont="1" applyFill="1" applyBorder="1" applyAlignment="1">
      <alignment horizontal="center" vertical="center" wrapText="1"/>
    </xf>
    <xf numFmtId="49" fontId="12" fillId="49" borderId="26" xfId="2" applyNumberFormat="1" applyFont="1" applyFill="1" applyBorder="1" applyAlignment="1">
      <alignment horizontal="left" vertical="center" wrapText="1"/>
    </xf>
    <xf numFmtId="49" fontId="20" fillId="5" borderId="47" xfId="2" applyNumberFormat="1" applyFont="1" applyFill="1" applyBorder="1" applyAlignment="1">
      <alignment horizontal="center" vertical="center" wrapText="1"/>
    </xf>
    <xf numFmtId="49" fontId="20" fillId="5" borderId="4" xfId="2" applyNumberFormat="1" applyFont="1" applyFill="1" applyBorder="1" applyAlignment="1">
      <alignment horizontal="center" vertical="center" wrapText="1"/>
    </xf>
    <xf numFmtId="164" fontId="88" fillId="0" borderId="20" xfId="1" applyNumberFormat="1" applyFont="1" applyFill="1" applyBorder="1" applyProtection="1">
      <protection hidden="1"/>
    </xf>
    <xf numFmtId="167" fontId="88" fillId="0" borderId="20" xfId="1" applyNumberFormat="1" applyFont="1" applyFill="1" applyBorder="1" applyProtection="1">
      <protection hidden="1"/>
    </xf>
    <xf numFmtId="0" fontId="64" fillId="45" borderId="0" xfId="0" applyFont="1" applyFill="1"/>
    <xf numFmtId="0" fontId="64" fillId="49" borderId="0" xfId="0" applyFont="1" applyFill="1"/>
    <xf numFmtId="0" fontId="111" fillId="2" borderId="0" xfId="2" applyFont="1" applyFill="1" applyAlignment="1">
      <alignment horizontal="center"/>
    </xf>
    <xf numFmtId="49" fontId="61" fillId="45" borderId="7" xfId="0" applyNumberFormat="1" applyFont="1" applyFill="1" applyBorder="1" applyAlignment="1">
      <alignment horizontal="left" vertical="center" wrapText="1"/>
    </xf>
    <xf numFmtId="49" fontId="69" fillId="45" borderId="8" xfId="0" applyNumberFormat="1" applyFont="1" applyFill="1" applyBorder="1" applyAlignment="1">
      <alignment horizontal="left" vertical="center" wrapText="1"/>
    </xf>
    <xf numFmtId="41" fontId="14" fillId="45" borderId="8" xfId="2" applyNumberFormat="1" applyFont="1" applyFill="1" applyBorder="1" applyAlignment="1">
      <alignment horizontal="center" vertical="center"/>
    </xf>
    <xf numFmtId="0" fontId="83" fillId="2" borderId="0" xfId="2" applyFont="1" applyFill="1" applyBorder="1" applyAlignment="1">
      <alignment horizontal="right"/>
    </xf>
    <xf numFmtId="0" fontId="106" fillId="0" borderId="0" xfId="2" applyFont="1" applyBorder="1" applyAlignment="1">
      <alignment horizontal="right"/>
    </xf>
    <xf numFmtId="0" fontId="106" fillId="0" borderId="0" xfId="2" applyFont="1" applyAlignment="1">
      <alignment horizontal="right"/>
    </xf>
    <xf numFmtId="49" fontId="20" fillId="5" borderId="36" xfId="2" applyNumberFormat="1" applyFont="1" applyFill="1" applyBorder="1" applyAlignment="1">
      <alignment horizontal="left" vertical="center" wrapText="1"/>
    </xf>
    <xf numFmtId="49" fontId="20" fillId="5" borderId="5" xfId="2" applyNumberFormat="1" applyFont="1" applyFill="1" applyBorder="1" applyAlignment="1">
      <alignment horizontal="left" vertical="center" wrapText="1"/>
    </xf>
    <xf numFmtId="49" fontId="8" fillId="5" borderId="5" xfId="2" applyNumberFormat="1" applyFont="1" applyFill="1" applyBorder="1" applyAlignment="1">
      <alignment horizontal="left" vertical="center" wrapText="1"/>
    </xf>
    <xf numFmtId="49" fontId="61" fillId="45" borderId="47" xfId="0" applyNumberFormat="1" applyFont="1" applyFill="1" applyBorder="1" applyAlignment="1">
      <alignment horizontal="left" vertical="center" wrapText="1"/>
    </xf>
    <xf numFmtId="49" fontId="61" fillId="45" borderId="36" xfId="0" applyNumberFormat="1" applyFont="1" applyFill="1" applyBorder="1" applyAlignment="1">
      <alignment horizontal="left" vertical="center" wrapText="1"/>
    </xf>
    <xf numFmtId="0" fontId="35" fillId="0" borderId="47" xfId="2" applyFont="1" applyBorder="1" applyAlignment="1">
      <alignment horizontal="center" vertical="center"/>
    </xf>
    <xf numFmtId="0" fontId="20" fillId="0" borderId="7" xfId="2" applyFont="1" applyBorder="1" applyAlignment="1" applyProtection="1">
      <alignment vertical="center"/>
      <protection locked="0"/>
    </xf>
    <xf numFmtId="165" fontId="20" fillId="0" borderId="8" xfId="30" applyNumberFormat="1" applyFont="1" applyBorder="1" applyAlignment="1" applyProtection="1">
      <alignment vertical="center"/>
      <protection locked="0"/>
    </xf>
    <xf numFmtId="165" fontId="108" fillId="37" borderId="8" xfId="30" applyNumberFormat="1" applyFont="1" applyFill="1" applyBorder="1" applyAlignment="1" applyProtection="1">
      <alignment horizontal="center" vertical="center"/>
      <protection locked="0"/>
    </xf>
    <xf numFmtId="165" fontId="20" fillId="0" borderId="8" xfId="30" applyNumberFormat="1" applyFont="1" applyBorder="1" applyAlignment="1" applyProtection="1">
      <alignment horizontal="center" vertical="center"/>
      <protection locked="0"/>
    </xf>
    <xf numFmtId="165" fontId="20" fillId="0" borderId="33" xfId="30" applyNumberFormat="1" applyFont="1" applyBorder="1" applyAlignment="1" applyProtection="1">
      <alignment horizontal="center" vertical="center"/>
      <protection locked="0"/>
    </xf>
    <xf numFmtId="0" fontId="12" fillId="41" borderId="41" xfId="2" applyFont="1" applyFill="1" applyBorder="1" applyAlignment="1" applyProtection="1">
      <alignment horizontal="center" vertical="center"/>
      <protection locked="0"/>
    </xf>
    <xf numFmtId="165" fontId="12" fillId="41" borderId="42" xfId="30" applyNumberFormat="1" applyFont="1" applyFill="1" applyBorder="1" applyAlignment="1" applyProtection="1">
      <alignment vertical="center"/>
      <protection locked="0"/>
    </xf>
    <xf numFmtId="165" fontId="108" fillId="41" borderId="42" xfId="30" applyNumberFormat="1" applyFont="1" applyFill="1" applyBorder="1" applyAlignment="1" applyProtection="1">
      <alignment horizontal="center" vertical="center"/>
      <protection locked="0"/>
    </xf>
    <xf numFmtId="165" fontId="12" fillId="41" borderId="43" xfId="30" applyNumberFormat="1" applyFont="1" applyFill="1" applyBorder="1" applyAlignment="1" applyProtection="1">
      <alignment vertical="center"/>
      <protection locked="0"/>
    </xf>
    <xf numFmtId="0" fontId="114" fillId="0" borderId="0" xfId="50" applyFont="1" applyAlignment="1">
      <alignment vertical="center"/>
    </xf>
    <xf numFmtId="0" fontId="95" fillId="45" borderId="42" xfId="50" applyFont="1" applyFill="1" applyBorder="1" applyAlignment="1">
      <alignment horizontal="center" vertical="center"/>
    </xf>
    <xf numFmtId="0" fontId="94" fillId="0" borderId="0" xfId="50" applyFont="1" applyAlignment="1">
      <alignment vertical="center"/>
    </xf>
    <xf numFmtId="0" fontId="114" fillId="0" borderId="4" xfId="50" applyFont="1" applyBorder="1" applyAlignment="1">
      <alignment horizontal="center" vertical="center"/>
    </xf>
    <xf numFmtId="0" fontId="114" fillId="0" borderId="5" xfId="50" applyFont="1" applyBorder="1" applyAlignment="1">
      <alignment vertical="center"/>
    </xf>
    <xf numFmtId="0" fontId="114" fillId="0" borderId="5" xfId="50" applyFont="1" applyBorder="1" applyAlignment="1">
      <alignment vertical="center" wrapText="1"/>
    </xf>
    <xf numFmtId="0" fontId="95" fillId="0" borderId="6" xfId="50" quotePrefix="1" applyFont="1" applyBorder="1" applyAlignment="1">
      <alignment horizontal="center" vertical="center"/>
    </xf>
    <xf numFmtId="170" fontId="95" fillId="0" borderId="6" xfId="50" quotePrefix="1" applyNumberFormat="1" applyFont="1" applyBorder="1" applyAlignment="1">
      <alignment horizontal="center" vertical="center"/>
    </xf>
    <xf numFmtId="171" fontId="95" fillId="0" borderId="6" xfId="50" quotePrefix="1" applyNumberFormat="1" applyFont="1" applyBorder="1" applyAlignment="1">
      <alignment horizontal="center" vertical="center"/>
    </xf>
    <xf numFmtId="0" fontId="95" fillId="45" borderId="41" xfId="50" applyFont="1" applyFill="1" applyBorder="1" applyAlignment="1">
      <alignment horizontal="center" vertical="center"/>
    </xf>
    <xf numFmtId="0" fontId="95" fillId="45" borderId="43" xfId="50" applyFont="1" applyFill="1" applyBorder="1" applyAlignment="1">
      <alignment horizontal="center" vertical="center"/>
    </xf>
    <xf numFmtId="0" fontId="114" fillId="0" borderId="57" xfId="50" applyFont="1" applyBorder="1" applyAlignment="1">
      <alignment horizontal="center" vertical="center"/>
    </xf>
    <xf numFmtId="0" fontId="114" fillId="0" borderId="39" xfId="50" applyFont="1" applyBorder="1" applyAlignment="1">
      <alignment vertical="center"/>
    </xf>
    <xf numFmtId="0" fontId="95" fillId="0" borderId="40" xfId="50" quotePrefix="1" applyFont="1" applyBorder="1" applyAlignment="1">
      <alignment horizontal="center" vertical="center"/>
    </xf>
    <xf numFmtId="0" fontId="114" fillId="0" borderId="7" xfId="50" applyFont="1" applyBorder="1" applyAlignment="1">
      <alignment horizontal="center" vertical="center"/>
    </xf>
    <xf numFmtId="0" fontId="114" fillId="0" borderId="8" xfId="50" applyFont="1" applyBorder="1" applyAlignment="1">
      <alignment vertical="center" wrapText="1"/>
    </xf>
    <xf numFmtId="171" fontId="95" fillId="0" borderId="33" xfId="50" quotePrefix="1" applyNumberFormat="1" applyFont="1" applyBorder="1" applyAlignment="1">
      <alignment horizontal="center" vertical="center"/>
    </xf>
    <xf numFmtId="0" fontId="8" fillId="41" borderId="59" xfId="2" applyFont="1" applyFill="1" applyBorder="1" applyAlignment="1">
      <alignment horizontal="center" vertical="center" wrapText="1"/>
    </xf>
    <xf numFmtId="0" fontId="8" fillId="41" borderId="3" xfId="2" applyFont="1" applyFill="1" applyBorder="1" applyAlignment="1">
      <alignment horizontal="center" vertical="center" wrapText="1"/>
    </xf>
    <xf numFmtId="0" fontId="12" fillId="41" borderId="59" xfId="2" applyFont="1" applyFill="1" applyBorder="1" applyAlignment="1">
      <alignment horizontal="center" vertical="center" wrapText="1"/>
    </xf>
    <xf numFmtId="0" fontId="12" fillId="41" borderId="56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/>
    </xf>
    <xf numFmtId="165" fontId="12" fillId="0" borderId="36" xfId="30" applyNumberFormat="1" applyFont="1" applyBorder="1" applyAlignment="1" applyProtection="1">
      <alignment vertical="center"/>
      <protection locked="0"/>
    </xf>
    <xf numFmtId="0" fontId="20" fillId="0" borderId="4" xfId="2" applyFont="1" applyBorder="1" applyAlignment="1" applyProtection="1">
      <alignment horizontal="center" vertical="center"/>
      <protection locked="0"/>
    </xf>
    <xf numFmtId="0" fontId="20" fillId="0" borderId="7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vertical="center"/>
      <protection locked="0"/>
    </xf>
    <xf numFmtId="0" fontId="12" fillId="0" borderId="4" xfId="2" applyFont="1" applyBorder="1"/>
    <xf numFmtId="0" fontId="20" fillId="0" borderId="50" xfId="2" applyFont="1" applyBorder="1" applyAlignment="1" applyProtection="1">
      <alignment horizontal="center" vertical="center"/>
      <protection locked="0"/>
    </xf>
    <xf numFmtId="0" fontId="12" fillId="0" borderId="0" xfId="2" applyFont="1" applyBorder="1"/>
    <xf numFmtId="0" fontId="12" fillId="41" borderId="3" xfId="2" quotePrefix="1" applyFont="1" applyFill="1" applyBorder="1" applyAlignment="1">
      <alignment horizontal="center" vertical="center" wrapText="1"/>
    </xf>
    <xf numFmtId="0" fontId="20" fillId="0" borderId="25" xfId="2" applyFont="1" applyBorder="1" applyAlignment="1" applyProtection="1">
      <alignment horizontal="center" vertical="center"/>
      <protection locked="0"/>
    </xf>
    <xf numFmtId="0" fontId="12" fillId="45" borderId="3" xfId="2" applyFont="1" applyFill="1" applyBorder="1" applyAlignment="1">
      <alignment horizontal="center" vertical="center" wrapText="1"/>
    </xf>
    <xf numFmtId="0" fontId="77" fillId="2" borderId="0" xfId="2" applyFont="1" applyFill="1" applyBorder="1" applyAlignment="1">
      <alignment horizontal="left"/>
    </xf>
    <xf numFmtId="0" fontId="64" fillId="3" borderId="0" xfId="40" applyFont="1" applyFill="1" applyBorder="1"/>
    <xf numFmtId="0" fontId="115" fillId="0" borderId="0" xfId="52" applyFont="1"/>
    <xf numFmtId="0" fontId="115" fillId="0" borderId="0" xfId="52" applyFont="1" applyBorder="1"/>
    <xf numFmtId="0" fontId="115" fillId="3" borderId="0" xfId="52" applyFont="1" applyFill="1" applyBorder="1" applyAlignment="1">
      <alignment horizontal="left"/>
    </xf>
    <xf numFmtId="0" fontId="116" fillId="0" borderId="0" xfId="52" applyFont="1" applyBorder="1" applyAlignment="1">
      <alignment horizontal="center" vertical="center" wrapText="1"/>
    </xf>
    <xf numFmtId="0" fontId="115" fillId="3" borderId="0" xfId="52" applyFont="1" applyFill="1" applyBorder="1" applyAlignment="1"/>
    <xf numFmtId="0" fontId="115" fillId="0" borderId="0" xfId="52" applyFont="1" applyAlignment="1">
      <alignment vertical="center"/>
    </xf>
    <xf numFmtId="0" fontId="115" fillId="0" borderId="0" xfId="52" applyFont="1" applyBorder="1" applyProtection="1">
      <protection locked="0"/>
    </xf>
    <xf numFmtId="0" fontId="119" fillId="0" borderId="0" xfId="52" applyFont="1" applyAlignment="1">
      <alignment vertical="center"/>
    </xf>
    <xf numFmtId="0" fontId="116" fillId="45" borderId="3" xfId="52" applyFont="1" applyFill="1" applyBorder="1" applyAlignment="1"/>
    <xf numFmtId="0" fontId="116" fillId="51" borderId="3" xfId="52" applyFont="1" applyFill="1" applyBorder="1" applyAlignment="1"/>
    <xf numFmtId="0" fontId="117" fillId="0" borderId="0" xfId="0" applyFont="1" applyAlignment="1">
      <alignment horizontal="center"/>
    </xf>
    <xf numFmtId="0" fontId="115" fillId="45" borderId="3" xfId="52" applyFont="1" applyFill="1" applyBorder="1" applyAlignment="1">
      <alignment horizontal="center" vertical="center"/>
    </xf>
    <xf numFmtId="0" fontId="115" fillId="51" borderId="3" xfId="52" applyFont="1" applyFill="1" applyBorder="1" applyAlignment="1">
      <alignment horizontal="center" vertical="center"/>
    </xf>
    <xf numFmtId="0" fontId="115" fillId="0" borderId="122" xfId="52" applyFont="1" applyBorder="1"/>
    <xf numFmtId="0" fontId="119" fillId="0" borderId="18" xfId="52" applyFont="1" applyBorder="1" applyAlignment="1">
      <alignment horizontal="left" vertical="center" wrapText="1" indent="2"/>
    </xf>
    <xf numFmtId="0" fontId="115" fillId="45" borderId="124" xfId="52" applyFont="1" applyFill="1" applyBorder="1" applyAlignment="1">
      <alignment horizontal="center" vertical="center"/>
    </xf>
    <xf numFmtId="0" fontId="115" fillId="51" borderId="124" xfId="52" applyFont="1" applyFill="1" applyBorder="1" applyAlignment="1">
      <alignment horizontal="center" vertical="center"/>
    </xf>
    <xf numFmtId="0" fontId="116" fillId="51" borderId="124" xfId="52" applyFont="1" applyFill="1" applyBorder="1" applyAlignment="1"/>
    <xf numFmtId="0" fontId="122" fillId="0" borderId="122" xfId="52" applyFont="1" applyBorder="1" applyAlignment="1">
      <alignment horizontal="center"/>
    </xf>
    <xf numFmtId="39" fontId="122" fillId="0" borderId="122" xfId="1" applyNumberFormat="1" applyFont="1" applyBorder="1" applyAlignment="1">
      <alignment horizontal="center"/>
    </xf>
    <xf numFmtId="43" fontId="122" fillId="0" borderId="122" xfId="1" applyFont="1" applyBorder="1" applyAlignment="1">
      <alignment horizontal="center"/>
    </xf>
    <xf numFmtId="49" fontId="55" fillId="3" borderId="3" xfId="40" applyNumberFormat="1" applyFont="1" applyFill="1" applyBorder="1" applyAlignment="1">
      <alignment horizontal="left" vertical="center" wrapText="1"/>
    </xf>
    <xf numFmtId="49" fontId="124" fillId="3" borderId="3" xfId="40" applyNumberFormat="1" applyFont="1" applyFill="1" applyBorder="1" applyAlignment="1">
      <alignment horizontal="center" vertical="center" wrapText="1"/>
    </xf>
    <xf numFmtId="164" fontId="55" fillId="3" borderId="3" xfId="1" applyNumberFormat="1" applyFont="1" applyFill="1" applyBorder="1" applyAlignment="1">
      <alignment horizontal="right" vertical="center" wrapText="1"/>
    </xf>
    <xf numFmtId="49" fontId="124" fillId="3" borderId="0" xfId="40" applyNumberFormat="1" applyFont="1" applyFill="1" applyBorder="1" applyAlignment="1">
      <alignment horizontal="center" vertical="center" wrapText="1"/>
    </xf>
    <xf numFmtId="164" fontId="55" fillId="3" borderId="0" xfId="1" applyNumberFormat="1" applyFont="1" applyFill="1" applyBorder="1" applyAlignment="1">
      <alignment horizontal="right" vertical="center" wrapText="1"/>
    </xf>
    <xf numFmtId="0" fontId="55" fillId="3" borderId="0" xfId="40" applyFont="1" applyFill="1"/>
    <xf numFmtId="0" fontId="104" fillId="2" borderId="0" xfId="48" applyFont="1" applyFill="1" applyAlignment="1">
      <alignment horizontal="center" vertical="center" wrapText="1"/>
    </xf>
    <xf numFmtId="0" fontId="69" fillId="3" borderId="45" xfId="40" applyFont="1" applyFill="1" applyBorder="1" applyAlignment="1">
      <alignment horizontal="center" vertical="center"/>
    </xf>
    <xf numFmtId="164" fontId="55" fillId="3" borderId="3" xfId="1" applyNumberFormat="1" applyFont="1" applyFill="1" applyBorder="1" applyAlignment="1">
      <alignment horizontal="right" wrapText="1"/>
    </xf>
    <xf numFmtId="49" fontId="55" fillId="3" borderId="0" xfId="4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4" fillId="3" borderId="0" xfId="0" applyFont="1" applyFill="1" applyAlignment="1">
      <alignment vertical="center"/>
    </xf>
    <xf numFmtId="0" fontId="124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124" fillId="0" borderId="0" xfId="0" applyFont="1"/>
    <xf numFmtId="0" fontId="124" fillId="3" borderId="0" xfId="0" applyFont="1" applyFill="1"/>
    <xf numFmtId="0" fontId="74" fillId="0" borderId="0" xfId="0" applyFont="1"/>
    <xf numFmtId="0" fontId="125" fillId="0" borderId="0" xfId="0" applyFont="1" applyFill="1"/>
    <xf numFmtId="0" fontId="74" fillId="0" borderId="0" xfId="0" applyFont="1" applyFill="1"/>
    <xf numFmtId="0" fontId="88" fillId="0" borderId="18" xfId="0" applyFont="1" applyBorder="1"/>
    <xf numFmtId="0" fontId="55" fillId="3" borderId="0" xfId="40" applyFont="1" applyFill="1" applyBorder="1"/>
    <xf numFmtId="49" fontId="124" fillId="3" borderId="3" xfId="40" applyNumberFormat="1" applyFont="1" applyFill="1" applyBorder="1" applyAlignment="1">
      <alignment horizontal="left" vertical="center" wrapText="1"/>
    </xf>
    <xf numFmtId="164" fontId="124" fillId="3" borderId="3" xfId="1" applyNumberFormat="1" applyFont="1" applyFill="1" applyBorder="1" applyAlignment="1">
      <alignment horizontal="right" vertical="center" wrapText="1"/>
    </xf>
    <xf numFmtId="0" fontId="124" fillId="3" borderId="0" xfId="40" applyFont="1" applyFill="1"/>
    <xf numFmtId="0" fontId="127" fillId="42" borderId="5" xfId="50" applyFont="1" applyFill="1" applyBorder="1" applyAlignment="1">
      <alignment vertical="center"/>
    </xf>
    <xf numFmtId="9" fontId="88" fillId="41" borderId="3" xfId="49" applyFont="1" applyFill="1" applyBorder="1" applyAlignment="1" applyProtection="1">
      <alignment horizontal="center"/>
      <protection hidden="1"/>
    </xf>
    <xf numFmtId="0" fontId="87" fillId="51" borderId="3" xfId="0" applyFont="1" applyFill="1" applyBorder="1" applyAlignment="1">
      <alignment horizontal="center" vertical="center" wrapText="1"/>
    </xf>
    <xf numFmtId="0" fontId="88" fillId="51" borderId="3" xfId="0" applyFont="1" applyFill="1" applyBorder="1"/>
    <xf numFmtId="0" fontId="88" fillId="0" borderId="3" xfId="0" applyFont="1" applyBorder="1"/>
    <xf numFmtId="0" fontId="115" fillId="52" borderId="3" xfId="52" applyFont="1" applyFill="1" applyBorder="1" applyAlignment="1">
      <alignment horizontal="center" vertical="center"/>
    </xf>
    <xf numFmtId="0" fontId="116" fillId="52" borderId="3" xfId="52" applyFont="1" applyFill="1" applyBorder="1" applyAlignment="1"/>
    <xf numFmtId="0" fontId="115" fillId="52" borderId="124" xfId="52" applyFont="1" applyFill="1" applyBorder="1" applyAlignment="1">
      <alignment horizontal="center" vertical="center"/>
    </xf>
    <xf numFmtId="0" fontId="116" fillId="0" borderId="0" xfId="52" applyFont="1" applyFill="1" applyBorder="1" applyAlignment="1">
      <alignment horizontal="left"/>
    </xf>
    <xf numFmtId="0" fontId="116" fillId="0" borderId="0" xfId="52" applyFont="1" applyFill="1" applyBorder="1" applyAlignment="1">
      <alignment horizontal="center" vertical="center" textRotation="90" wrapText="1"/>
    </xf>
    <xf numFmtId="0" fontId="115" fillId="0" borderId="0" xfId="52" applyFont="1" applyFill="1" applyBorder="1" applyAlignment="1">
      <alignment horizontal="center" vertical="center"/>
    </xf>
    <xf numFmtId="0" fontId="115" fillId="0" borderId="0" xfId="52" applyFont="1" applyFill="1" applyBorder="1"/>
    <xf numFmtId="0" fontId="133" fillId="50" borderId="3" xfId="52" applyFont="1" applyFill="1" applyBorder="1" applyAlignment="1">
      <alignment horizontal="center" vertical="center" wrapText="1"/>
    </xf>
    <xf numFmtId="0" fontId="116" fillId="52" borderId="124" xfId="52" applyFont="1" applyFill="1" applyBorder="1" applyAlignment="1">
      <alignment horizontal="left"/>
    </xf>
    <xf numFmtId="0" fontId="8" fillId="3" borderId="0" xfId="53" applyFont="1" applyFill="1" applyAlignment="1">
      <alignment vertical="center"/>
    </xf>
    <xf numFmtId="0" fontId="56" fillId="3" borderId="0" xfId="53" applyFont="1" applyFill="1" applyAlignment="1">
      <alignment horizontal="center" vertical="center"/>
    </xf>
    <xf numFmtId="0" fontId="55" fillId="3" borderId="0" xfId="53" applyFont="1" applyFill="1" applyAlignment="1">
      <alignment vertical="center"/>
    </xf>
    <xf numFmtId="0" fontId="73" fillId="2" borderId="0" xfId="54" applyFont="1" applyFill="1" applyAlignment="1">
      <alignment horizontal="center" wrapText="1"/>
    </xf>
    <xf numFmtId="0" fontId="11" fillId="3" borderId="0" xfId="53" applyFont="1" applyFill="1" applyAlignment="1">
      <alignment horizontal="center" vertical="center"/>
    </xf>
    <xf numFmtId="0" fontId="8" fillId="3" borderId="0" xfId="53" applyFill="1" applyAlignment="1">
      <alignment vertical="center"/>
    </xf>
    <xf numFmtId="0" fontId="64" fillId="3" borderId="0" xfId="55" applyFont="1" applyFill="1"/>
    <xf numFmtId="0" fontId="64" fillId="3" borderId="0" xfId="55" applyFont="1" applyFill="1" applyAlignment="1"/>
    <xf numFmtId="49" fontId="55" fillId="3" borderId="4" xfId="55" applyNumberFormat="1" applyFont="1" applyFill="1" applyBorder="1" applyAlignment="1">
      <alignment horizontal="left" vertical="center" wrapText="1"/>
    </xf>
    <xf numFmtId="49" fontId="55" fillId="3" borderId="5" xfId="55" applyNumberFormat="1" applyFont="1" applyFill="1" applyBorder="1" applyAlignment="1">
      <alignment horizontal="left" vertical="center" wrapText="1"/>
    </xf>
    <xf numFmtId="0" fontId="64" fillId="45" borderId="0" xfId="55" applyFont="1" applyFill="1"/>
    <xf numFmtId="49" fontId="8" fillId="3" borderId="5" xfId="55" applyNumberFormat="1" applyFont="1" applyFill="1" applyBorder="1" applyAlignment="1">
      <alignment horizontal="left" vertical="center" wrapText="1"/>
    </xf>
    <xf numFmtId="49" fontId="55" fillId="3" borderId="4" xfId="55" applyNumberFormat="1" applyFont="1" applyFill="1" applyBorder="1" applyAlignment="1">
      <alignment vertical="center" wrapText="1"/>
    </xf>
    <xf numFmtId="0" fontId="77" fillId="0" borderId="127" xfId="2" applyFont="1" applyBorder="1" applyAlignment="1">
      <alignment horizontal="right"/>
    </xf>
    <xf numFmtId="0" fontId="80" fillId="0" borderId="127" xfId="2" applyFont="1" applyBorder="1" applyAlignment="1">
      <alignment horizontal="right"/>
    </xf>
    <xf numFmtId="0" fontId="8" fillId="31" borderId="66" xfId="2" applyFont="1" applyFill="1" applyBorder="1" applyAlignment="1">
      <alignment horizontal="center" vertical="center" wrapText="1"/>
    </xf>
    <xf numFmtId="0" fontId="8" fillId="31" borderId="131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right"/>
    </xf>
    <xf numFmtId="41" fontId="35" fillId="2" borderId="3" xfId="2" applyNumberFormat="1" applyFont="1" applyFill="1" applyBorder="1" applyAlignment="1">
      <alignment horizontal="center" vertical="center"/>
    </xf>
    <xf numFmtId="0" fontId="8" fillId="0" borderId="50" xfId="2" applyFill="1" applyBorder="1" applyAlignment="1">
      <alignment horizontal="center"/>
    </xf>
    <xf numFmtId="41" fontId="35" fillId="0" borderId="52" xfId="2" applyNumberFormat="1" applyFont="1" applyFill="1" applyBorder="1" applyAlignment="1">
      <alignment vertical="center" wrapText="1"/>
    </xf>
    <xf numFmtId="41" fontId="14" fillId="0" borderId="52" xfId="2" applyNumberFormat="1" applyFont="1" applyFill="1" applyBorder="1" applyAlignment="1">
      <alignment horizontal="center" vertical="center"/>
    </xf>
    <xf numFmtId="41" fontId="14" fillId="0" borderId="120" xfId="2" applyNumberFormat="1" applyFont="1" applyFill="1" applyBorder="1" applyAlignment="1">
      <alignment horizontal="center" vertical="center"/>
    </xf>
    <xf numFmtId="41" fontId="14" fillId="0" borderId="3" xfId="2" applyNumberFormat="1" applyFont="1" applyFill="1" applyBorder="1" applyAlignment="1">
      <alignment horizontal="center" vertical="center"/>
    </xf>
    <xf numFmtId="41" fontId="35" fillId="0" borderId="119" xfId="2" applyNumberFormat="1" applyFont="1" applyFill="1" applyBorder="1" applyAlignment="1">
      <alignment horizontal="center" vertical="center"/>
    </xf>
    <xf numFmtId="41" fontId="35" fillId="0" borderId="120" xfId="2" applyNumberFormat="1" applyFont="1" applyFill="1" applyBorder="1" applyAlignment="1">
      <alignment horizontal="center" vertical="center"/>
    </xf>
    <xf numFmtId="41" fontId="35" fillId="0" borderId="132" xfId="2" applyNumberFormat="1" applyFont="1" applyFill="1" applyBorder="1" applyAlignment="1">
      <alignment horizontal="center" vertical="center"/>
    </xf>
    <xf numFmtId="41" fontId="35" fillId="0" borderId="70" xfId="2" applyNumberFormat="1" applyFont="1" applyFill="1" applyBorder="1" applyAlignment="1">
      <alignment horizontal="center" vertical="center"/>
    </xf>
    <xf numFmtId="41" fontId="35" fillId="0" borderId="51" xfId="2" applyNumberFormat="1" applyFont="1" applyFill="1" applyBorder="1" applyAlignment="1">
      <alignment horizontal="center" vertical="center"/>
    </xf>
    <xf numFmtId="41" fontId="35" fillId="0" borderId="130" xfId="2" applyNumberFormat="1" applyFont="1" applyFill="1" applyBorder="1" applyAlignment="1">
      <alignment horizontal="center" vertical="center"/>
    </xf>
    <xf numFmtId="0" fontId="8" fillId="0" borderId="57" xfId="2" applyFill="1" applyBorder="1" applyAlignment="1">
      <alignment horizontal="center"/>
    </xf>
    <xf numFmtId="41" fontId="35" fillId="0" borderId="39" xfId="2" applyNumberFormat="1" applyFont="1" applyFill="1" applyBorder="1" applyAlignment="1">
      <alignment vertical="center" wrapText="1"/>
    </xf>
    <xf numFmtId="41" fontId="14" fillId="0" borderId="121" xfId="2" applyNumberFormat="1" applyFont="1" applyFill="1" applyBorder="1" applyAlignment="1">
      <alignment horizontal="center" vertical="center"/>
    </xf>
    <xf numFmtId="41" fontId="35" fillId="2" borderId="19" xfId="2" applyNumberFormat="1" applyFont="1" applyFill="1" applyBorder="1" applyAlignment="1">
      <alignment horizontal="center" vertical="center"/>
    </xf>
    <xf numFmtId="0" fontId="20" fillId="0" borderId="4" xfId="2" applyFont="1" applyBorder="1" applyAlignment="1">
      <alignment horizontal="left" vertical="center" indent="3"/>
    </xf>
    <xf numFmtId="0" fontId="8" fillId="0" borderId="4" xfId="2" applyFont="1" applyBorder="1" applyAlignment="1">
      <alignment horizontal="left" vertical="center" wrapText="1"/>
    </xf>
    <xf numFmtId="0" fontId="38" fillId="0" borderId="4" xfId="2" applyFont="1" applyBorder="1" applyAlignment="1">
      <alignment horizontal="left" vertical="center" wrapText="1" indent="7"/>
    </xf>
    <xf numFmtId="165" fontId="20" fillId="2" borderId="120" xfId="30" applyNumberFormat="1" applyFont="1" applyFill="1" applyBorder="1" applyAlignment="1">
      <alignment horizontal="left" vertical="center"/>
    </xf>
    <xf numFmtId="0" fontId="8" fillId="0" borderId="4" xfId="2" applyFont="1" applyBorder="1" applyAlignment="1">
      <alignment horizontal="left" vertical="center" indent="3"/>
    </xf>
    <xf numFmtId="0" fontId="12" fillId="54" borderId="4" xfId="2" applyFont="1" applyFill="1" applyBorder="1" applyAlignment="1">
      <alignment horizontal="center" vertical="center"/>
    </xf>
    <xf numFmtId="165" fontId="12" fillId="54" borderId="5" xfId="30" applyNumberFormat="1" applyFont="1" applyFill="1" applyBorder="1" applyAlignment="1">
      <alignment horizontal="left" vertical="center"/>
    </xf>
    <xf numFmtId="165" fontId="12" fillId="54" borderId="120" xfId="30" applyNumberFormat="1" applyFont="1" applyFill="1" applyBorder="1" applyAlignment="1">
      <alignment horizontal="left" vertical="center"/>
    </xf>
    <xf numFmtId="165" fontId="12" fillId="54" borderId="6" xfId="30" applyNumberFormat="1" applyFont="1" applyFill="1" applyBorder="1" applyAlignment="1">
      <alignment horizontal="left" vertical="center"/>
    </xf>
    <xf numFmtId="173" fontId="87" fillId="42" borderId="3" xfId="1" applyNumberFormat="1" applyFont="1" applyFill="1" applyBorder="1" applyAlignment="1" applyProtection="1">
      <alignment horizontal="center" vertical="center"/>
      <protection hidden="1"/>
    </xf>
    <xf numFmtId="173" fontId="90" fillId="42" borderId="3" xfId="1" applyNumberFormat="1" applyFont="1" applyFill="1" applyBorder="1" applyAlignment="1" applyProtection="1">
      <alignment horizontal="center" vertical="center"/>
      <protection hidden="1"/>
    </xf>
    <xf numFmtId="37" fontId="88" fillId="43" borderId="3" xfId="1" applyNumberFormat="1" applyFont="1" applyFill="1" applyBorder="1" applyAlignment="1" applyProtection="1">
      <alignment horizontal="center" vertical="center"/>
      <protection hidden="1"/>
    </xf>
    <xf numFmtId="37" fontId="88" fillId="44" borderId="3" xfId="1" applyNumberFormat="1" applyFont="1" applyFill="1" applyBorder="1" applyAlignment="1" applyProtection="1">
      <alignment horizontal="center" vertical="center"/>
      <protection hidden="1"/>
    </xf>
    <xf numFmtId="172" fontId="91" fillId="45" borderId="3" xfId="1" applyNumberFormat="1" applyFont="1" applyFill="1" applyBorder="1" applyAlignment="1" applyProtection="1">
      <alignment horizontal="center" vertical="center"/>
      <protection hidden="1"/>
    </xf>
    <xf numFmtId="172" fontId="90" fillId="45" borderId="3" xfId="1" applyNumberFormat="1" applyFont="1" applyFill="1" applyBorder="1" applyAlignment="1" applyProtection="1">
      <alignment horizontal="center" vertical="center"/>
      <protection hidden="1"/>
    </xf>
    <xf numFmtId="172" fontId="87" fillId="36" borderId="3" xfId="0" applyNumberFormat="1" applyFont="1" applyFill="1" applyBorder="1" applyAlignment="1" applyProtection="1">
      <alignment horizontal="center" vertical="center"/>
      <protection hidden="1"/>
    </xf>
    <xf numFmtId="172" fontId="90" fillId="36" borderId="3" xfId="0" applyNumberFormat="1" applyFont="1" applyFill="1" applyBorder="1" applyAlignment="1" applyProtection="1">
      <alignment horizontal="center" vertical="center"/>
      <protection locked="0"/>
    </xf>
    <xf numFmtId="172" fontId="90" fillId="36" borderId="3" xfId="0" applyNumberFormat="1" applyFont="1" applyFill="1" applyBorder="1" applyAlignment="1" applyProtection="1">
      <alignment horizontal="center" vertical="center"/>
      <protection hidden="1"/>
    </xf>
    <xf numFmtId="164" fontId="88" fillId="43" borderId="3" xfId="1" applyNumberFormat="1" applyFont="1" applyFill="1" applyBorder="1" applyAlignment="1" applyProtection="1">
      <alignment horizontal="center" vertical="center"/>
      <protection hidden="1"/>
    </xf>
    <xf numFmtId="0" fontId="138" fillId="0" borderId="0" xfId="2" applyFont="1" applyBorder="1" applyAlignment="1">
      <alignment vertical="center"/>
    </xf>
    <xf numFmtId="0" fontId="42" fillId="2" borderId="0" xfId="2" applyFont="1" applyFill="1" applyBorder="1" applyAlignment="1">
      <alignment horizontal="center"/>
    </xf>
    <xf numFmtId="0" fontId="8" fillId="31" borderId="69" xfId="2" applyFont="1" applyFill="1" applyBorder="1" applyAlignment="1">
      <alignment horizontal="center" vertical="center" wrapText="1"/>
    </xf>
    <xf numFmtId="172" fontId="13" fillId="0" borderId="0" xfId="2" applyNumberFormat="1" applyFont="1" applyAlignment="1">
      <alignment horizontal="center" vertical="center"/>
    </xf>
    <xf numFmtId="172" fontId="13" fillId="0" borderId="0" xfId="2" applyNumberFormat="1" applyFont="1" applyBorder="1" applyAlignment="1">
      <alignment horizontal="center" vertical="center"/>
    </xf>
    <xf numFmtId="172" fontId="13" fillId="55" borderId="3" xfId="2" applyNumberFormat="1" applyFont="1" applyFill="1" applyBorder="1" applyAlignment="1">
      <alignment horizontal="center" vertical="center"/>
    </xf>
    <xf numFmtId="172" fontId="13" fillId="42" borderId="3" xfId="2" applyNumberFormat="1" applyFont="1" applyFill="1" applyBorder="1" applyAlignment="1">
      <alignment horizontal="center" vertical="center"/>
    </xf>
    <xf numFmtId="41" fontId="14" fillId="42" borderId="3" xfId="2" applyNumberFormat="1" applyFont="1" applyFill="1" applyBorder="1" applyAlignment="1">
      <alignment vertical="center"/>
    </xf>
    <xf numFmtId="0" fontId="139" fillId="42" borderId="59" xfId="2" applyFont="1" applyFill="1" applyBorder="1" applyAlignment="1">
      <alignment vertical="center"/>
    </xf>
    <xf numFmtId="0" fontId="139" fillId="42" borderId="60" xfId="2" applyFont="1" applyFill="1" applyBorder="1" applyAlignment="1">
      <alignment vertical="center"/>
    </xf>
    <xf numFmtId="0" fontId="139" fillId="42" borderId="56" xfId="2" applyFont="1" applyFill="1" applyBorder="1" applyAlignment="1">
      <alignment vertical="center"/>
    </xf>
    <xf numFmtId="41" fontId="14" fillId="0" borderId="39" xfId="2" applyNumberFormat="1" applyFont="1" applyFill="1" applyBorder="1" applyAlignment="1">
      <alignment horizontal="center" vertical="center"/>
    </xf>
    <xf numFmtId="41" fontId="14" fillId="0" borderId="140" xfId="2" applyNumberFormat="1" applyFont="1" applyFill="1" applyBorder="1" applyAlignment="1">
      <alignment horizontal="center" vertical="center"/>
    </xf>
    <xf numFmtId="41" fontId="14" fillId="0" borderId="56" xfId="2" applyNumberFormat="1" applyFont="1" applyFill="1" applyBorder="1" applyAlignment="1">
      <alignment horizontal="center" vertical="center"/>
    </xf>
    <xf numFmtId="41" fontId="14" fillId="32" borderId="0" xfId="2" applyNumberFormat="1" applyFont="1" applyFill="1" applyBorder="1" applyAlignment="1">
      <alignment horizontal="left" vertical="center" wrapText="1"/>
    </xf>
    <xf numFmtId="0" fontId="12" fillId="31" borderId="69" xfId="2" applyFont="1" applyFill="1" applyBorder="1" applyAlignment="1">
      <alignment horizontal="center" vertical="center" textRotation="90" wrapText="1"/>
    </xf>
    <xf numFmtId="0" fontId="37" fillId="0" borderId="0" xfId="2" applyFont="1" applyBorder="1"/>
    <xf numFmtId="0" fontId="8" fillId="0" borderId="18" xfId="2" applyBorder="1"/>
    <xf numFmtId="0" fontId="13" fillId="0" borderId="0" xfId="2" applyFont="1" applyBorder="1" applyAlignment="1">
      <alignment horizontal="left" vertical="center"/>
    </xf>
    <xf numFmtId="172" fontId="13" fillId="0" borderId="18" xfId="2" applyNumberFormat="1" applyFont="1" applyBorder="1" applyAlignment="1">
      <alignment horizontal="center" vertical="center"/>
    </xf>
    <xf numFmtId="0" fontId="3" fillId="0" borderId="0" xfId="58"/>
    <xf numFmtId="0" fontId="144" fillId="0" borderId="19" xfId="58" applyFont="1" applyBorder="1" applyAlignment="1">
      <alignment horizontal="center" vertical="center" textRotation="90"/>
    </xf>
    <xf numFmtId="0" fontId="144" fillId="0" borderId="3" xfId="58" applyFont="1" applyBorder="1" applyAlignment="1">
      <alignment horizontal="center" vertical="center" wrapText="1"/>
    </xf>
    <xf numFmtId="0" fontId="140" fillId="35" borderId="3" xfId="58" applyFont="1" applyFill="1" applyBorder="1" applyAlignment="1">
      <alignment horizontal="center" vertical="center" wrapText="1"/>
    </xf>
    <xf numFmtId="0" fontId="140" fillId="38" borderId="3" xfId="58" applyFont="1" applyFill="1" applyBorder="1" applyAlignment="1">
      <alignment horizontal="center" vertical="center" wrapText="1"/>
    </xf>
    <xf numFmtId="0" fontId="140" fillId="56" borderId="3" xfId="58" applyFont="1" applyFill="1" applyBorder="1" applyAlignment="1">
      <alignment horizontal="center" vertical="center" wrapText="1"/>
    </xf>
    <xf numFmtId="0" fontId="140" fillId="57" borderId="3" xfId="58" applyFont="1" applyFill="1" applyBorder="1" applyAlignment="1">
      <alignment horizontal="center" vertical="center" wrapText="1"/>
    </xf>
    <xf numFmtId="0" fontId="144" fillId="53" borderId="19" xfId="58" applyFont="1" applyFill="1" applyBorder="1" applyAlignment="1">
      <alignment horizontal="center" vertical="center" textRotation="90"/>
    </xf>
    <xf numFmtId="0" fontId="54" fillId="3" borderId="3" xfId="58" applyFont="1" applyFill="1" applyBorder="1" applyAlignment="1">
      <alignment horizontal="center" vertical="center" wrapText="1"/>
    </xf>
    <xf numFmtId="0" fontId="54" fillId="3" borderId="60" xfId="58" applyFont="1" applyFill="1" applyBorder="1" applyAlignment="1">
      <alignment horizontal="center" vertical="center" wrapText="1"/>
    </xf>
    <xf numFmtId="0" fontId="54" fillId="3" borderId="0" xfId="58" applyFont="1" applyFill="1" applyAlignment="1">
      <alignment horizontal="center"/>
    </xf>
    <xf numFmtId="0" fontId="145" fillId="53" borderId="60" xfId="58" applyFont="1" applyFill="1" applyBorder="1" applyAlignment="1">
      <alignment vertical="center" textRotation="90"/>
    </xf>
    <xf numFmtId="0" fontId="148" fillId="3" borderId="0" xfId="0" applyFont="1" applyFill="1"/>
    <xf numFmtId="0" fontId="149" fillId="3" borderId="0" xfId="0" applyFont="1" applyFill="1"/>
    <xf numFmtId="0" fontId="147" fillId="3" borderId="0" xfId="40" applyFont="1" applyFill="1"/>
    <xf numFmtId="0" fontId="150" fillId="3" borderId="0" xfId="41" applyFont="1" applyFill="1" applyAlignment="1">
      <alignment vertical="center"/>
    </xf>
    <xf numFmtId="0" fontId="152" fillId="3" borderId="0" xfId="41" applyFont="1" applyFill="1" applyAlignment="1">
      <alignment horizontal="center" vertical="center"/>
    </xf>
    <xf numFmtId="0" fontId="153" fillId="2" borderId="0" xfId="2" applyFont="1" applyFill="1" applyAlignment="1">
      <alignment horizontal="center" wrapText="1"/>
    </xf>
    <xf numFmtId="0" fontId="153" fillId="2" borderId="0" xfId="2" applyFont="1" applyFill="1" applyAlignment="1">
      <alignment horizontal="center"/>
    </xf>
    <xf numFmtId="49" fontId="146" fillId="0" borderId="0" xfId="0" applyNumberFormat="1" applyFont="1" applyFill="1" applyBorder="1" applyAlignment="1">
      <alignment horizontal="right" wrapText="1"/>
    </xf>
    <xf numFmtId="0" fontId="152" fillId="3" borderId="0" xfId="0" applyFont="1" applyFill="1" applyAlignment="1">
      <alignment vertical="center"/>
    </xf>
    <xf numFmtId="0" fontId="152" fillId="2" borderId="0" xfId="0" applyFont="1" applyFill="1" applyAlignment="1">
      <alignment vertical="center" wrapText="1"/>
    </xf>
    <xf numFmtId="0" fontId="152" fillId="3" borderId="0" xfId="0" applyFont="1" applyFill="1" applyAlignment="1">
      <alignment vertical="center" wrapText="1"/>
    </xf>
    <xf numFmtId="0" fontId="148" fillId="3" borderId="0" xfId="0" applyFont="1" applyFill="1" applyAlignment="1">
      <alignment vertical="center"/>
    </xf>
    <xf numFmtId="0" fontId="148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48" fillId="0" borderId="0" xfId="0" applyFont="1"/>
    <xf numFmtId="0" fontId="155" fillId="0" borderId="0" xfId="0" applyFont="1"/>
    <xf numFmtId="0" fontId="149" fillId="0" borderId="0" xfId="0" applyFont="1" applyFill="1"/>
    <xf numFmtId="0" fontId="155" fillId="0" borderId="0" xfId="0" applyFont="1" applyFill="1"/>
    <xf numFmtId="49" fontId="156" fillId="4" borderId="4" xfId="40" applyNumberFormat="1" applyFont="1" applyFill="1" applyBorder="1" applyAlignment="1">
      <alignment horizontal="left" vertical="center" wrapText="1"/>
    </xf>
    <xf numFmtId="49" fontId="156" fillId="30" borderId="5" xfId="0" applyNumberFormat="1" applyFont="1" applyFill="1" applyBorder="1" applyAlignment="1">
      <alignment horizontal="left" vertical="center" wrapText="1"/>
    </xf>
    <xf numFmtId="49" fontId="147" fillId="3" borderId="4" xfId="40" applyNumberFormat="1" applyFont="1" applyFill="1" applyBorder="1" applyAlignment="1">
      <alignment horizontal="left" vertical="center" wrapText="1"/>
    </xf>
    <xf numFmtId="49" fontId="147" fillId="3" borderId="5" xfId="40" applyNumberFormat="1" applyFont="1" applyFill="1" applyBorder="1" applyAlignment="1">
      <alignment horizontal="left" vertical="center" wrapText="1"/>
    </xf>
    <xf numFmtId="49" fontId="147" fillId="3" borderId="5" xfId="40" applyNumberFormat="1" applyFont="1" applyFill="1" applyBorder="1" applyAlignment="1">
      <alignment vertical="center" wrapText="1"/>
    </xf>
    <xf numFmtId="49" fontId="156" fillId="30" borderId="5" xfId="0" applyNumberFormat="1" applyFont="1" applyFill="1" applyBorder="1" applyAlignment="1">
      <alignment vertical="center" wrapText="1"/>
    </xf>
    <xf numFmtId="49" fontId="150" fillId="3" borderId="5" xfId="40" applyNumberFormat="1" applyFont="1" applyFill="1" applyBorder="1" applyAlignment="1">
      <alignment horizontal="left" vertical="center" wrapText="1"/>
    </xf>
    <xf numFmtId="49" fontId="147" fillId="4" borderId="7" xfId="40" applyNumberFormat="1" applyFont="1" applyFill="1" applyBorder="1" applyAlignment="1">
      <alignment horizontal="left" vertical="center" wrapText="1"/>
    </xf>
    <xf numFmtId="49" fontId="146" fillId="30" borderId="8" xfId="0" applyNumberFormat="1" applyFont="1" applyFill="1" applyBorder="1" applyAlignment="1">
      <alignment horizontal="center" vertical="center" wrapText="1"/>
    </xf>
    <xf numFmtId="0" fontId="152" fillId="0" borderId="0" xfId="2" applyFont="1" applyBorder="1" applyAlignment="1"/>
    <xf numFmtId="0" fontId="35" fillId="0" borderId="45" xfId="2" applyFont="1" applyBorder="1" applyAlignment="1">
      <alignment vertical="center"/>
    </xf>
    <xf numFmtId="0" fontId="13" fillId="0" borderId="45" xfId="2" applyFont="1" applyBorder="1" applyAlignment="1">
      <alignment horizontal="left" vertical="center"/>
    </xf>
    <xf numFmtId="0" fontId="37" fillId="0" borderId="45" xfId="2" applyFont="1" applyBorder="1"/>
    <xf numFmtId="0" fontId="8" fillId="0" borderId="45" xfId="2" applyBorder="1"/>
    <xf numFmtId="0" fontId="87" fillId="36" borderId="3" xfId="0" applyFont="1" applyFill="1" applyBorder="1" applyAlignment="1">
      <alignment horizontal="left" vertical="center"/>
    </xf>
    <xf numFmtId="0" fontId="87" fillId="36" borderId="3" xfId="0" applyFont="1" applyFill="1" applyBorder="1" applyAlignment="1">
      <alignment vertical="center"/>
    </xf>
    <xf numFmtId="0" fontId="88" fillId="0" borderId="0" xfId="0" applyFont="1" applyBorder="1" applyAlignment="1">
      <alignment vertical="center"/>
    </xf>
    <xf numFmtId="0" fontId="88" fillId="0" borderId="0" xfId="0" applyFont="1" applyAlignment="1">
      <alignment vertical="center"/>
    </xf>
    <xf numFmtId="0" fontId="87" fillId="41" borderId="3" xfId="0" applyFont="1" applyFill="1" applyBorder="1" applyAlignment="1">
      <alignment horizontal="left" vertical="center"/>
    </xf>
    <xf numFmtId="0" fontId="88" fillId="41" borderId="3" xfId="0" applyFont="1" applyFill="1" applyBorder="1" applyAlignment="1">
      <alignment vertical="center"/>
    </xf>
    <xf numFmtId="0" fontId="97" fillId="0" borderId="0" xfId="2" applyFont="1" applyAlignment="1">
      <alignment horizontal="center"/>
    </xf>
    <xf numFmtId="0" fontId="12" fillId="34" borderId="3" xfId="2" applyFont="1" applyFill="1" applyBorder="1" applyAlignment="1">
      <alignment horizontal="center" vertical="center" wrapText="1"/>
    </xf>
    <xf numFmtId="165" fontId="153" fillId="2" borderId="0" xfId="1" applyNumberFormat="1" applyFont="1" applyFill="1" applyAlignment="1">
      <alignment horizontal="center"/>
    </xf>
    <xf numFmtId="165" fontId="154" fillId="3" borderId="0" xfId="1" applyNumberFormat="1" applyFont="1" applyFill="1" applyBorder="1" applyAlignment="1">
      <alignment horizontal="right" vertical="center"/>
    </xf>
    <xf numFmtId="165" fontId="156" fillId="30" borderId="5" xfId="1" applyNumberFormat="1" applyFont="1" applyFill="1" applyBorder="1" applyAlignment="1">
      <alignment horizontal="left" wrapText="1"/>
    </xf>
    <xf numFmtId="165" fontId="156" fillId="30" borderId="6" xfId="1" applyNumberFormat="1" applyFont="1" applyFill="1" applyBorder="1" applyAlignment="1">
      <alignment horizontal="left" wrapText="1"/>
    </xf>
    <xf numFmtId="165" fontId="147" fillId="3" borderId="6" xfId="1" applyNumberFormat="1" applyFont="1" applyFill="1" applyBorder="1" applyAlignment="1">
      <alignment horizontal="right" wrapText="1"/>
    </xf>
    <xf numFmtId="165" fontId="146" fillId="30" borderId="8" xfId="1" applyNumberFormat="1" applyFont="1" applyFill="1" applyBorder="1" applyAlignment="1">
      <alignment horizontal="left" wrapText="1"/>
    </xf>
    <xf numFmtId="165" fontId="147" fillId="3" borderId="0" xfId="1" applyNumberFormat="1" applyFont="1" applyFill="1"/>
    <xf numFmtId="165" fontId="20" fillId="0" borderId="0" xfId="1" applyNumberFormat="1" applyFont="1"/>
    <xf numFmtId="165" fontId="80" fillId="0" borderId="127" xfId="1" applyNumberFormat="1" applyFont="1" applyBorder="1" applyAlignment="1">
      <alignment horizontal="right"/>
    </xf>
    <xf numFmtId="165" fontId="111" fillId="2" borderId="0" xfId="1" applyNumberFormat="1" applyFont="1" applyFill="1" applyAlignment="1">
      <alignment horizontal="center"/>
    </xf>
    <xf numFmtId="165" fontId="72" fillId="3" borderId="0" xfId="1" applyNumberFormat="1" applyFont="1" applyFill="1" applyBorder="1" applyAlignment="1">
      <alignment horizontal="right" vertical="center"/>
    </xf>
    <xf numFmtId="165" fontId="59" fillId="45" borderId="37" xfId="1" applyNumberFormat="1" applyFont="1" applyFill="1" applyBorder="1" applyAlignment="1">
      <alignment horizontal="right" wrapText="1"/>
    </xf>
    <xf numFmtId="165" fontId="55" fillId="3" borderId="5" xfId="1" applyNumberFormat="1" applyFont="1" applyFill="1" applyBorder="1" applyAlignment="1">
      <alignment horizontal="right" wrapText="1"/>
    </xf>
    <xf numFmtId="165" fontId="55" fillId="3" borderId="6" xfId="1" applyNumberFormat="1" applyFont="1" applyFill="1" applyBorder="1" applyAlignment="1">
      <alignment horizontal="right" wrapText="1"/>
    </xf>
    <xf numFmtId="165" fontId="59" fillId="45" borderId="6" xfId="1" applyNumberFormat="1" applyFont="1" applyFill="1" applyBorder="1" applyAlignment="1">
      <alignment horizontal="right" wrapText="1"/>
    </xf>
    <xf numFmtId="165" fontId="66" fillId="45" borderId="6" xfId="1" applyNumberFormat="1" applyFont="1" applyFill="1" applyBorder="1" applyAlignment="1">
      <alignment horizontal="left" wrapText="1"/>
    </xf>
    <xf numFmtId="165" fontId="66" fillId="49" borderId="6" xfId="1" applyNumberFormat="1" applyFont="1" applyFill="1" applyBorder="1" applyAlignment="1">
      <alignment horizontal="left" wrapText="1"/>
    </xf>
    <xf numFmtId="165" fontId="67" fillId="45" borderId="33" xfId="1" applyNumberFormat="1" applyFont="1" applyFill="1" applyBorder="1" applyAlignment="1">
      <alignment horizontal="right" wrapText="1"/>
    </xf>
    <xf numFmtId="165" fontId="64" fillId="0" borderId="0" xfId="1" applyNumberFormat="1" applyFont="1"/>
    <xf numFmtId="165" fontId="73" fillId="2" borderId="0" xfId="1" applyNumberFormat="1" applyFont="1" applyFill="1" applyAlignment="1">
      <alignment horizontal="center" wrapText="1"/>
    </xf>
    <xf numFmtId="165" fontId="69" fillId="45" borderId="37" xfId="1" applyNumberFormat="1" applyFont="1" applyFill="1" applyBorder="1" applyAlignment="1">
      <alignment horizontal="left"/>
    </xf>
    <xf numFmtId="165" fontId="69" fillId="45" borderId="5" xfId="1" applyNumberFormat="1" applyFont="1" applyFill="1" applyBorder="1" applyAlignment="1">
      <alignment horizontal="left" wrapText="1"/>
    </xf>
    <xf numFmtId="165" fontId="69" fillId="45" borderId="6" xfId="1" applyNumberFormat="1" applyFont="1" applyFill="1" applyBorder="1" applyAlignment="1">
      <alignment horizontal="left" wrapText="1"/>
    </xf>
    <xf numFmtId="165" fontId="69" fillId="45" borderId="5" xfId="1" applyNumberFormat="1" applyFont="1" applyFill="1" applyBorder="1" applyAlignment="1">
      <alignment horizontal="left" wrapText="1" indent="1"/>
    </xf>
    <xf numFmtId="165" fontId="69" fillId="45" borderId="6" xfId="1" applyNumberFormat="1" applyFont="1" applyFill="1" applyBorder="1" applyAlignment="1">
      <alignment horizontal="left" wrapText="1" indent="1"/>
    </xf>
    <xf numFmtId="165" fontId="69" fillId="45" borderId="8" xfId="1" applyNumberFormat="1" applyFont="1" applyFill="1" applyBorder="1" applyAlignment="1">
      <alignment horizontal="left" wrapText="1"/>
    </xf>
    <xf numFmtId="165" fontId="64" fillId="3" borderId="0" xfId="1" applyNumberFormat="1" applyFont="1" applyFill="1"/>
    <xf numFmtId="165" fontId="55" fillId="0" borderId="5" xfId="1" applyNumberFormat="1" applyFont="1" applyBorder="1" applyAlignment="1">
      <alignment horizontal="right" vertical="center" wrapText="1"/>
    </xf>
    <xf numFmtId="165" fontId="162" fillId="4" borderId="3" xfId="1" applyNumberFormat="1" applyFont="1" applyFill="1" applyBorder="1" applyAlignment="1">
      <alignment horizontal="right" wrapText="1"/>
    </xf>
    <xf numFmtId="165" fontId="162" fillId="4" borderId="3" xfId="1" applyNumberFormat="1" applyFont="1" applyFill="1" applyBorder="1" applyAlignment="1">
      <alignment horizontal="right" vertical="center" wrapText="1"/>
    </xf>
    <xf numFmtId="165" fontId="20" fillId="0" borderId="0" xfId="2" applyNumberFormat="1" applyFont="1"/>
    <xf numFmtId="49" fontId="8" fillId="5" borderId="25" xfId="1" applyNumberFormat="1" applyFont="1" applyFill="1" applyBorder="1" applyAlignment="1">
      <alignment horizontal="center" vertical="center" wrapText="1"/>
    </xf>
    <xf numFmtId="165" fontId="163" fillId="5" borderId="3" xfId="1" applyNumberFormat="1" applyFont="1" applyFill="1" applyBorder="1" applyAlignment="1">
      <alignment horizontal="left" vertical="center" wrapText="1"/>
    </xf>
    <xf numFmtId="49" fontId="57" fillId="5" borderId="19" xfId="1" applyNumberFormat="1" applyFont="1" applyFill="1" applyBorder="1" applyAlignment="1">
      <alignment horizontal="center" vertical="center" wrapText="1"/>
    </xf>
    <xf numFmtId="165" fontId="57" fillId="5" borderId="3" xfId="1" applyNumberFormat="1" applyFont="1" applyFill="1" applyBorder="1" applyAlignment="1">
      <alignment horizontal="center" vertical="center" wrapText="1"/>
    </xf>
    <xf numFmtId="0" fontId="150" fillId="3" borderId="0" xfId="53" applyFont="1" applyFill="1" applyAlignment="1">
      <alignment vertical="center"/>
    </xf>
    <xf numFmtId="165" fontId="147" fillId="3" borderId="53" xfId="1" applyNumberFormat="1" applyFont="1" applyFill="1" applyBorder="1" applyAlignment="1">
      <alignment horizontal="right" wrapText="1"/>
    </xf>
    <xf numFmtId="49" fontId="147" fillId="3" borderId="120" xfId="40" applyNumberFormat="1" applyFont="1" applyFill="1" applyBorder="1" applyAlignment="1">
      <alignment horizontal="left" vertical="center" wrapText="1"/>
    </xf>
    <xf numFmtId="165" fontId="147" fillId="3" borderId="46" xfId="1" applyNumberFormat="1" applyFont="1" applyFill="1" applyBorder="1" applyAlignment="1">
      <alignment horizontal="right" wrapText="1"/>
    </xf>
    <xf numFmtId="165" fontId="147" fillId="3" borderId="48" xfId="1" applyNumberFormat="1" applyFont="1" applyFill="1" applyBorder="1" applyAlignment="1">
      <alignment horizontal="right" wrapText="1"/>
    </xf>
    <xf numFmtId="165" fontId="147" fillId="3" borderId="142" xfId="1" applyNumberFormat="1" applyFont="1" applyFill="1" applyBorder="1" applyAlignment="1">
      <alignment horizontal="right" wrapText="1"/>
    </xf>
    <xf numFmtId="165" fontId="147" fillId="3" borderId="40" xfId="1" applyNumberFormat="1" applyFont="1" applyFill="1" applyBorder="1" applyAlignment="1">
      <alignment horizontal="right" wrapText="1"/>
    </xf>
    <xf numFmtId="49" fontId="164" fillId="3" borderId="4" xfId="40" applyNumberFormat="1" applyFont="1" applyFill="1" applyBorder="1" applyAlignment="1">
      <alignment horizontal="left" vertical="center" wrapText="1"/>
    </xf>
    <xf numFmtId="49" fontId="164" fillId="3" borderId="5" xfId="40" applyNumberFormat="1" applyFont="1" applyFill="1" applyBorder="1" applyAlignment="1">
      <alignment horizontal="left" vertical="center" wrapText="1"/>
    </xf>
    <xf numFmtId="165" fontId="34" fillId="5" borderId="4" xfId="1" applyNumberFormat="1" applyFont="1" applyFill="1" applyBorder="1" applyAlignment="1">
      <alignment horizontal="left" vertical="center" wrapText="1"/>
    </xf>
    <xf numFmtId="165" fontId="34" fillId="5" borderId="5" xfId="1" applyNumberFormat="1" applyFont="1" applyFill="1" applyBorder="1" applyAlignment="1">
      <alignment horizontal="left" vertical="center" wrapText="1"/>
    </xf>
    <xf numFmtId="165" fontId="34" fillId="5" borderId="4" xfId="1" applyNumberFormat="1" applyFont="1" applyFill="1" applyBorder="1" applyAlignment="1">
      <alignment horizontal="center" wrapText="1"/>
    </xf>
    <xf numFmtId="165" fontId="34" fillId="5" borderId="4" xfId="1" applyNumberFormat="1" applyFont="1" applyFill="1" applyBorder="1" applyAlignment="1">
      <alignment horizontal="center" vertical="center" wrapText="1"/>
    </xf>
    <xf numFmtId="165" fontId="34" fillId="5" borderId="4" xfId="1" applyNumberFormat="1" applyFont="1" applyFill="1" applyBorder="1" applyAlignment="1">
      <alignment horizontal="left" wrapText="1"/>
    </xf>
    <xf numFmtId="165" fontId="8" fillId="5" borderId="5" xfId="1" applyNumberFormat="1" applyFont="1" applyFill="1" applyBorder="1" applyAlignment="1">
      <alignment horizontal="left" vertical="center" wrapText="1"/>
    </xf>
    <xf numFmtId="165" fontId="61" fillId="45" borderId="47" xfId="1" applyNumberFormat="1" applyFont="1" applyFill="1" applyBorder="1" applyAlignment="1">
      <alignment horizontal="left" vertical="center" wrapText="1"/>
    </xf>
    <xf numFmtId="165" fontId="61" fillId="45" borderId="36" xfId="1" applyNumberFormat="1" applyFont="1" applyFill="1" applyBorder="1" applyAlignment="1">
      <alignment horizontal="left" vertical="center" wrapText="1"/>
    </xf>
    <xf numFmtId="165" fontId="55" fillId="3" borderId="4" xfId="1" applyNumberFormat="1" applyFont="1" applyFill="1" applyBorder="1" applyAlignment="1">
      <alignment horizontal="left" vertical="center" wrapText="1"/>
    </xf>
    <xf numFmtId="165" fontId="55" fillId="3" borderId="5" xfId="1" applyNumberFormat="1" applyFont="1" applyFill="1" applyBorder="1" applyAlignment="1">
      <alignment horizontal="left" vertical="center" wrapText="1"/>
    </xf>
    <xf numFmtId="165" fontId="61" fillId="45" borderId="4" xfId="1" applyNumberFormat="1" applyFont="1" applyFill="1" applyBorder="1" applyAlignment="1">
      <alignment horizontal="left" vertical="center" wrapText="1"/>
    </xf>
    <xf numFmtId="165" fontId="61" fillId="45" borderId="5" xfId="1" applyNumberFormat="1" applyFont="1" applyFill="1" applyBorder="1" applyAlignment="1">
      <alignment horizontal="left" vertical="center" wrapText="1"/>
    </xf>
    <xf numFmtId="165" fontId="8" fillId="3" borderId="5" xfId="1" applyNumberFormat="1" applyFont="1" applyFill="1" applyBorder="1" applyAlignment="1">
      <alignment horizontal="left" vertical="center" wrapText="1"/>
    </xf>
    <xf numFmtId="49" fontId="166" fillId="3" borderId="4" xfId="40" applyNumberFormat="1" applyFont="1" applyFill="1" applyBorder="1" applyAlignment="1">
      <alignment horizontal="left" vertical="center" wrapText="1"/>
    </xf>
    <xf numFmtId="49" fontId="166" fillId="3" borderId="5" xfId="40" applyNumberFormat="1" applyFont="1" applyFill="1" applyBorder="1" applyAlignment="1">
      <alignment horizontal="left" vertical="center" wrapText="1"/>
    </xf>
    <xf numFmtId="165" fontId="55" fillId="3" borderId="4" xfId="1" applyNumberFormat="1" applyFont="1" applyFill="1" applyBorder="1" applyAlignment="1">
      <alignment vertical="center" wrapText="1"/>
    </xf>
    <xf numFmtId="165" fontId="61" fillId="45" borderId="7" xfId="1" applyNumberFormat="1" applyFont="1" applyFill="1" applyBorder="1" applyAlignment="1">
      <alignment horizontal="left" vertical="center" wrapText="1"/>
    </xf>
    <xf numFmtId="165" fontId="69" fillId="45" borderId="8" xfId="1" applyNumberFormat="1" applyFont="1" applyFill="1" applyBorder="1" applyAlignment="1">
      <alignment horizontal="left" vertical="center" wrapText="1"/>
    </xf>
    <xf numFmtId="165" fontId="0" fillId="0" borderId="0" xfId="0" applyNumberFormat="1"/>
    <xf numFmtId="43" fontId="147" fillId="3" borderId="0" xfId="40" applyNumberFormat="1" applyFont="1" applyFill="1"/>
    <xf numFmtId="165" fontId="56" fillId="3" borderId="0" xfId="1" applyNumberFormat="1" applyFont="1" applyFill="1" applyAlignment="1">
      <alignment horizontal="center" vertical="center"/>
    </xf>
    <xf numFmtId="165" fontId="11" fillId="3" borderId="0" xfId="1" applyNumberFormat="1" applyFont="1" applyFill="1" applyAlignment="1">
      <alignment horizontal="center" vertical="center"/>
    </xf>
    <xf numFmtId="165" fontId="64" fillId="3" borderId="0" xfId="1" applyNumberFormat="1" applyFont="1" applyFill="1" applyAlignment="1">
      <alignment vertical="center"/>
    </xf>
    <xf numFmtId="165" fontId="64" fillId="3" borderId="0" xfId="1" applyNumberFormat="1" applyFont="1" applyFill="1" applyAlignment="1"/>
    <xf numFmtId="174" fontId="20" fillId="0" borderId="0" xfId="2" applyNumberFormat="1" applyFont="1" applyAlignment="1">
      <alignment vertical="center"/>
    </xf>
    <xf numFmtId="0" fontId="8" fillId="0" borderId="3" xfId="2" applyFill="1" applyBorder="1" applyAlignment="1">
      <alignment horizontal="center"/>
    </xf>
    <xf numFmtId="41" fontId="35" fillId="0" borderId="3" xfId="2" applyNumberFormat="1" applyFont="1" applyFill="1" applyBorder="1" applyAlignment="1">
      <alignment vertical="center" wrapText="1"/>
    </xf>
    <xf numFmtId="41" fontId="35" fillId="0" borderId="140" xfId="2" applyNumberFormat="1" applyFont="1" applyFill="1" applyBorder="1" applyAlignment="1">
      <alignment horizontal="center" vertical="center"/>
    </xf>
    <xf numFmtId="0" fontId="8" fillId="0" borderId="47" xfId="2" applyFont="1" applyBorder="1" applyAlignment="1" applyProtection="1">
      <alignment horizontal="center" vertical="center"/>
      <protection locked="0"/>
    </xf>
    <xf numFmtId="0" fontId="8" fillId="0" borderId="47" xfId="2" applyFont="1" applyBorder="1" applyAlignment="1" applyProtection="1">
      <alignment vertical="center"/>
      <protection locked="0"/>
    </xf>
    <xf numFmtId="165" fontId="8" fillId="0" borderId="36" xfId="59" applyNumberFormat="1" applyFont="1" applyBorder="1" applyAlignment="1" applyProtection="1">
      <alignment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165" fontId="8" fillId="0" borderId="5" xfId="59" applyNumberFormat="1" applyFont="1" applyBorder="1" applyAlignment="1" applyProtection="1">
      <alignment vertical="center"/>
      <protection locked="0"/>
    </xf>
    <xf numFmtId="165" fontId="90" fillId="46" borderId="3" xfId="1" applyNumberFormat="1" applyFont="1" applyFill="1" applyBorder="1" applyProtection="1">
      <protection locked="0"/>
    </xf>
    <xf numFmtId="165" fontId="0" fillId="0" borderId="0" xfId="1" applyNumberFormat="1" applyFont="1"/>
    <xf numFmtId="0" fontId="8" fillId="47" borderId="0" xfId="2" applyFill="1" applyBorder="1"/>
    <xf numFmtId="41" fontId="14" fillId="32" borderId="20" xfId="2" applyNumberFormat="1" applyFont="1" applyFill="1" applyBorder="1" applyAlignment="1">
      <alignment horizontal="left" vertical="center" wrapText="1"/>
    </xf>
    <xf numFmtId="0" fontId="20" fillId="0" borderId="3" xfId="2" applyFont="1" applyBorder="1" applyAlignment="1">
      <alignment horizontal="justify" vertical="center" wrapText="1"/>
    </xf>
    <xf numFmtId="0" fontId="12" fillId="34" borderId="3" xfId="2" applyFont="1" applyFill="1" applyBorder="1" applyAlignment="1">
      <alignment horizontal="center" vertical="center" wrapText="1"/>
    </xf>
    <xf numFmtId="0" fontId="20" fillId="0" borderId="59" xfId="2" applyFont="1" applyBorder="1" applyAlignment="1">
      <alignment horizontal="left" vertical="center" wrapText="1"/>
    </xf>
    <xf numFmtId="0" fontId="20" fillId="0" borderId="60" xfId="2" applyFont="1" applyBorder="1" applyAlignment="1">
      <alignment horizontal="left" vertical="center" wrapText="1"/>
    </xf>
    <xf numFmtId="41" fontId="12" fillId="0" borderId="46" xfId="2" applyNumberFormat="1" applyFont="1" applyFill="1" applyBorder="1" applyAlignment="1">
      <alignment horizontal="left" wrapText="1"/>
    </xf>
    <xf numFmtId="41" fontId="14" fillId="32" borderId="27" xfId="2" applyNumberFormat="1" applyFont="1" applyFill="1" applyBorder="1" applyAlignment="1">
      <alignment horizontal="left" vertical="center" wrapText="1"/>
    </xf>
    <xf numFmtId="41" fontId="14" fillId="32" borderId="45" xfId="2" applyNumberFormat="1" applyFont="1" applyFill="1" applyBorder="1" applyAlignment="1">
      <alignment horizontal="left" vertical="center" wrapText="1"/>
    </xf>
    <xf numFmtId="41" fontId="14" fillId="32" borderId="28" xfId="2" applyNumberFormat="1" applyFont="1" applyFill="1" applyBorder="1" applyAlignment="1">
      <alignment horizontal="left" vertical="center" wrapText="1"/>
    </xf>
    <xf numFmtId="41" fontId="11" fillId="0" borderId="45" xfId="2" applyNumberFormat="1" applyFont="1" applyFill="1" applyBorder="1" applyAlignment="1">
      <alignment vertical="center" wrapText="1"/>
    </xf>
    <xf numFmtId="41" fontId="14" fillId="0" borderId="46" xfId="2" applyNumberFormat="1" applyFont="1" applyFill="1" applyBorder="1" applyAlignment="1">
      <alignment wrapText="1"/>
    </xf>
    <xf numFmtId="0" fontId="8" fillId="0" borderId="92" xfId="2" applyFont="1" applyBorder="1" applyAlignment="1">
      <alignment horizontal="justify" vertical="center" wrapText="1"/>
    </xf>
    <xf numFmtId="0" fontId="8" fillId="0" borderId="79" xfId="2" applyFont="1" applyBorder="1" applyAlignment="1">
      <alignment horizontal="justify" vertical="center" wrapText="1"/>
    </xf>
    <xf numFmtId="0" fontId="20" fillId="0" borderId="29" xfId="2" applyFont="1" applyBorder="1" applyAlignment="1">
      <alignment horizontal="justify" vertical="center" wrapText="1"/>
    </xf>
    <xf numFmtId="0" fontId="20" fillId="0" borderId="60" xfId="2" applyFont="1" applyBorder="1" applyAlignment="1">
      <alignment horizontal="justify" vertical="center" wrapText="1"/>
    </xf>
    <xf numFmtId="0" fontId="20" fillId="0" borderId="60" xfId="2" applyFont="1" applyBorder="1" applyAlignment="1">
      <alignment horizontal="center" vertical="center" wrapText="1"/>
    </xf>
    <xf numFmtId="0" fontId="20" fillId="0" borderId="145" xfId="2" applyFont="1" applyBorder="1" applyAlignment="1">
      <alignment horizontal="justify" vertical="center" wrapText="1"/>
    </xf>
    <xf numFmtId="0" fontId="20" fillId="0" borderId="146" xfId="2" applyFont="1" applyBorder="1" applyAlignment="1">
      <alignment horizontal="justify" vertical="center" wrapText="1"/>
    </xf>
    <xf numFmtId="0" fontId="20" fillId="0" borderId="147" xfId="2" applyFont="1" applyBorder="1" applyAlignment="1">
      <alignment horizontal="center" vertical="center" wrapText="1"/>
    </xf>
    <xf numFmtId="41" fontId="20" fillId="0" borderId="60" xfId="2" applyNumberFormat="1" applyFont="1" applyBorder="1" applyAlignment="1">
      <alignment horizontal="center" vertical="center" wrapText="1"/>
    </xf>
    <xf numFmtId="41" fontId="20" fillId="0" borderId="110" xfId="2" applyNumberFormat="1" applyFont="1" applyBorder="1" applyAlignment="1">
      <alignment horizontal="center" vertical="center" wrapText="1"/>
    </xf>
    <xf numFmtId="0" fontId="8" fillId="0" borderId="96" xfId="2" applyFont="1" applyBorder="1" applyAlignment="1">
      <alignment horizontal="justify" vertical="center" wrapText="1"/>
    </xf>
    <xf numFmtId="0" fontId="8" fillId="0" borderId="86" xfId="2" applyFont="1" applyBorder="1" applyAlignment="1">
      <alignment horizontal="justify" vertical="center" wrapText="1"/>
    </xf>
    <xf numFmtId="0" fontId="8" fillId="0" borderId="60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 wrapText="1"/>
    </xf>
    <xf numFmtId="0" fontId="12" fillId="0" borderId="101" xfId="2" applyFont="1" applyBorder="1" applyAlignment="1">
      <alignment horizontal="left" vertical="center" wrapText="1"/>
    </xf>
    <xf numFmtId="0" fontId="20" fillId="0" borderId="110" xfId="2" applyFont="1" applyBorder="1" applyAlignment="1">
      <alignment vertical="center" wrapText="1"/>
    </xf>
    <xf numFmtId="0" fontId="8" fillId="0" borderId="110" xfId="2" applyFont="1" applyBorder="1" applyAlignment="1">
      <alignment vertical="center" wrapText="1"/>
    </xf>
    <xf numFmtId="0" fontId="8" fillId="0" borderId="100" xfId="2" applyFont="1" applyBorder="1" applyAlignment="1">
      <alignment horizontal="center" vertical="center" wrapText="1"/>
    </xf>
    <xf numFmtId="0" fontId="8" fillId="0" borderId="114" xfId="2" applyFont="1" applyBorder="1" applyAlignment="1">
      <alignment vertical="center" wrapText="1"/>
    </xf>
    <xf numFmtId="0" fontId="8" fillId="0" borderId="101" xfId="2" applyFont="1" applyBorder="1" applyAlignment="1">
      <alignment horizontal="justify" vertical="center" wrapText="1"/>
    </xf>
    <xf numFmtId="0" fontId="20" fillId="0" borderId="59" xfId="2" applyFont="1" applyBorder="1" applyAlignment="1">
      <alignment vertical="center" wrapText="1"/>
    </xf>
    <xf numFmtId="0" fontId="20" fillId="0" borderId="60" xfId="2" applyFont="1" applyBorder="1" applyAlignment="1">
      <alignment vertical="center" wrapText="1"/>
    </xf>
    <xf numFmtId="0" fontId="20" fillId="0" borderId="56" xfId="2" applyFont="1" applyBorder="1" applyAlignment="1">
      <alignment vertical="center" wrapText="1"/>
    </xf>
    <xf numFmtId="0" fontId="12" fillId="0" borderId="59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0" borderId="60" xfId="2" applyFont="1" applyBorder="1" applyAlignment="1">
      <alignment horizontal="center" vertical="center" wrapText="1"/>
    </xf>
    <xf numFmtId="0" fontId="12" fillId="0" borderId="96" xfId="2" applyFont="1" applyBorder="1" applyAlignment="1">
      <alignment horizontal="center" vertical="center" wrapText="1"/>
    </xf>
    <xf numFmtId="0" fontId="12" fillId="0" borderId="86" xfId="2" applyFont="1" applyBorder="1" applyAlignment="1">
      <alignment horizontal="center" vertical="center" wrapText="1"/>
    </xf>
    <xf numFmtId="0" fontId="8" fillId="0" borderId="60" xfId="2" applyFont="1" applyBorder="1" applyAlignment="1">
      <alignment vertical="center" wrapText="1"/>
    </xf>
    <xf numFmtId="0" fontId="8" fillId="0" borderId="56" xfId="2" applyFont="1" applyBorder="1" applyAlignment="1">
      <alignment vertical="center" wrapText="1"/>
    </xf>
    <xf numFmtId="0" fontId="12" fillId="0" borderId="59" xfId="2" applyFont="1" applyBorder="1" applyAlignment="1">
      <alignment vertical="center" wrapText="1"/>
    </xf>
    <xf numFmtId="0" fontId="39" fillId="0" borderId="59" xfId="2" applyFont="1" applyBorder="1" applyAlignment="1">
      <alignment vertical="center" wrapText="1"/>
    </xf>
    <xf numFmtId="0" fontId="12" fillId="0" borderId="59" xfId="2" applyFont="1" applyBorder="1" applyAlignment="1">
      <alignment horizontal="left" vertical="center" wrapText="1"/>
    </xf>
    <xf numFmtId="0" fontId="20" fillId="0" borderId="145" xfId="2" applyFont="1" applyBorder="1" applyAlignment="1">
      <alignment horizontal="center" vertical="center" wrapText="1"/>
    </xf>
    <xf numFmtId="0" fontId="20" fillId="0" borderId="146" xfId="2" applyFont="1" applyBorder="1" applyAlignment="1">
      <alignment horizontal="center" vertical="center" wrapText="1"/>
    </xf>
    <xf numFmtId="0" fontId="20" fillId="0" borderId="148" xfId="2" applyFont="1" applyBorder="1" applyAlignment="1">
      <alignment horizontal="center" vertical="center" wrapText="1"/>
    </xf>
    <xf numFmtId="0" fontId="20" fillId="0" borderId="80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3" xfId="2" applyFont="1" applyBorder="1" applyAlignment="1">
      <alignment vertical="center" wrapText="1"/>
    </xf>
    <xf numFmtId="0" fontId="12" fillId="0" borderId="3" xfId="2" applyFont="1" applyBorder="1" applyAlignment="1">
      <alignment horizontal="justify" vertical="center" wrapText="1"/>
    </xf>
    <xf numFmtId="0" fontId="12" fillId="0" borderId="3" xfId="2" applyFont="1" applyBorder="1" applyAlignment="1">
      <alignment horizontal="center" vertical="center" wrapText="1"/>
    </xf>
    <xf numFmtId="41" fontId="8" fillId="0" borderId="0" xfId="2" applyNumberFormat="1" applyBorder="1"/>
    <xf numFmtId="41" fontId="8" fillId="0" borderId="0" xfId="2" applyNumberFormat="1"/>
    <xf numFmtId="41" fontId="35" fillId="58" borderId="120" xfId="2" applyNumberFormat="1" applyFont="1" applyFill="1" applyBorder="1" applyAlignment="1">
      <alignment horizontal="center" vertical="center"/>
    </xf>
    <xf numFmtId="41" fontId="35" fillId="47" borderId="119" xfId="2" applyNumberFormat="1" applyFont="1" applyFill="1" applyBorder="1" applyAlignment="1">
      <alignment horizontal="center" vertical="center"/>
    </xf>
    <xf numFmtId="41" fontId="35" fillId="0" borderId="45" xfId="2" applyNumberFormat="1" applyFont="1" applyFill="1" applyBorder="1" applyAlignment="1">
      <alignment horizontal="center" vertical="center"/>
    </xf>
    <xf numFmtId="41" fontId="35" fillId="0" borderId="0" xfId="2" applyNumberFormat="1" applyFont="1" applyFill="1" applyBorder="1" applyAlignment="1">
      <alignment horizontal="center" vertical="center"/>
    </xf>
    <xf numFmtId="172" fontId="167" fillId="0" borderId="0" xfId="0" applyNumberFormat="1" applyFont="1" applyBorder="1" applyAlignment="1">
      <alignment vertical="center"/>
    </xf>
    <xf numFmtId="172" fontId="167" fillId="0" borderId="0" xfId="0" applyNumberFormat="1" applyFont="1" applyBorder="1"/>
    <xf numFmtId="0" fontId="167" fillId="0" borderId="0" xfId="0" applyFont="1" applyFill="1" applyBorder="1"/>
    <xf numFmtId="164" fontId="20" fillId="0" borderId="0" xfId="1" applyNumberFormat="1" applyFont="1" applyAlignment="1">
      <alignment vertical="center"/>
    </xf>
    <xf numFmtId="0" fontId="20" fillId="0" borderId="93" xfId="2" applyFont="1" applyBorder="1" applyAlignment="1">
      <alignment horizontal="center" vertical="center" wrapText="1"/>
    </xf>
    <xf numFmtId="0" fontId="20" fillId="0" borderId="0" xfId="2" applyFont="1" applyBorder="1" applyAlignment="1">
      <alignment vertical="center" wrapText="1"/>
    </xf>
    <xf numFmtId="172" fontId="88" fillId="0" borderId="0" xfId="0" applyNumberFormat="1" applyFont="1" applyBorder="1"/>
    <xf numFmtId="165" fontId="8" fillId="0" borderId="5" xfId="30" applyNumberFormat="1" applyFont="1" applyBorder="1" applyAlignment="1" applyProtection="1">
      <alignment horizontal="center" vertical="center"/>
      <protection locked="0"/>
    </xf>
    <xf numFmtId="0" fontId="116" fillId="45" borderId="27" xfId="52" applyFont="1" applyFill="1" applyBorder="1" applyAlignment="1">
      <alignment horizontal="center"/>
    </xf>
    <xf numFmtId="0" fontId="116" fillId="45" borderId="28" xfId="52" applyFont="1" applyFill="1" applyBorder="1" applyAlignment="1">
      <alignment horizontal="center"/>
    </xf>
    <xf numFmtId="0" fontId="168" fillId="45" borderId="3" xfId="52" applyFont="1" applyFill="1" applyBorder="1" applyAlignment="1"/>
    <xf numFmtId="0" fontId="168" fillId="45" borderId="59" xfId="52" applyFont="1" applyFill="1" applyBorder="1" applyAlignment="1"/>
    <xf numFmtId="0" fontId="168" fillId="45" borderId="124" xfId="52" applyFont="1" applyFill="1" applyBorder="1" applyAlignment="1"/>
    <xf numFmtId="0" fontId="169" fillId="45" borderId="3" xfId="52" applyFont="1" applyFill="1" applyBorder="1" applyAlignment="1"/>
    <xf numFmtId="0" fontId="169" fillId="45" borderId="3" xfId="52" applyFont="1" applyFill="1" applyBorder="1" applyAlignment="1">
      <alignment wrapText="1"/>
    </xf>
    <xf numFmtId="175" fontId="35" fillId="2" borderId="5" xfId="59" applyNumberFormat="1" applyFont="1" applyFill="1" applyBorder="1" applyAlignment="1">
      <alignment horizontal="center" vertical="center"/>
    </xf>
    <xf numFmtId="175" fontId="35" fillId="2" borderId="6" xfId="59" applyNumberFormat="1" applyFont="1" applyFill="1" applyBorder="1" applyAlignment="1">
      <alignment horizontal="center" vertical="center"/>
    </xf>
    <xf numFmtId="175" fontId="14" fillId="45" borderId="8" xfId="2" applyNumberFormat="1" applyFont="1" applyFill="1" applyBorder="1" applyAlignment="1">
      <alignment horizontal="center" vertical="center"/>
    </xf>
    <xf numFmtId="41" fontId="14" fillId="45" borderId="8" xfId="59" applyNumberFormat="1" applyFont="1" applyFill="1" applyBorder="1" applyAlignment="1">
      <alignment horizontal="center" vertical="center"/>
    </xf>
    <xf numFmtId="41" fontId="14" fillId="45" borderId="33" xfId="59" applyNumberFormat="1" applyFont="1" applyFill="1" applyBorder="1" applyAlignment="1">
      <alignment horizontal="center" vertical="center"/>
    </xf>
    <xf numFmtId="41" fontId="14" fillId="0" borderId="0" xfId="59" applyNumberFormat="1" applyFont="1" applyFill="1" applyBorder="1" applyAlignment="1">
      <alignment horizontal="center" vertical="center"/>
    </xf>
    <xf numFmtId="41" fontId="14" fillId="0" borderId="33" xfId="59" applyNumberFormat="1" applyFont="1" applyFill="1" applyBorder="1" applyAlignment="1">
      <alignment horizontal="center" vertical="center"/>
    </xf>
    <xf numFmtId="41" fontId="14" fillId="0" borderId="8" xfId="59" applyNumberFormat="1" applyFont="1" applyFill="1" applyBorder="1" applyAlignment="1">
      <alignment horizontal="center" vertical="center"/>
    </xf>
    <xf numFmtId="165" fontId="64" fillId="0" borderId="0" xfId="59" applyNumberFormat="1" applyFont="1"/>
    <xf numFmtId="165" fontId="10" fillId="0" borderId="0" xfId="59" applyNumberFormat="1" applyFont="1"/>
    <xf numFmtId="165" fontId="35" fillId="33" borderId="8" xfId="59" applyNumberFormat="1" applyFont="1" applyFill="1" applyBorder="1" applyAlignment="1">
      <alignment horizontal="center" vertical="center" wrapText="1"/>
    </xf>
    <xf numFmtId="165" fontId="35" fillId="33" borderId="33" xfId="59" applyNumberFormat="1" applyFont="1" applyFill="1" applyBorder="1" applyAlignment="1">
      <alignment horizontal="center" vertical="center" wrapText="1"/>
    </xf>
    <xf numFmtId="166" fontId="14" fillId="35" borderId="3" xfId="1" applyNumberFormat="1" applyFont="1" applyFill="1" applyBorder="1" applyAlignment="1">
      <alignment horizontal="right" vertical="center"/>
    </xf>
    <xf numFmtId="43" fontId="14" fillId="35" borderId="3" xfId="1" applyFont="1" applyFill="1" applyBorder="1" applyAlignment="1">
      <alignment horizontal="center" vertical="center" wrapText="1"/>
    </xf>
    <xf numFmtId="165" fontId="64" fillId="2" borderId="36" xfId="59" applyNumberFormat="1" applyFont="1" applyFill="1" applyBorder="1" applyAlignment="1">
      <alignment horizontal="center" vertical="center"/>
    </xf>
    <xf numFmtId="165" fontId="64" fillId="2" borderId="37" xfId="59" applyNumberFormat="1" applyFont="1" applyFill="1" applyBorder="1" applyAlignment="1">
      <alignment horizontal="center" vertical="center"/>
    </xf>
    <xf numFmtId="165" fontId="64" fillId="2" borderId="5" xfId="59" applyNumberFormat="1" applyFont="1" applyFill="1" applyBorder="1" applyAlignment="1">
      <alignment horizontal="center" vertical="center"/>
    </xf>
    <xf numFmtId="165" fontId="64" fillId="2" borderId="6" xfId="59" applyNumberFormat="1" applyFont="1" applyFill="1" applyBorder="1" applyAlignment="1">
      <alignment horizontal="center" vertical="center"/>
    </xf>
    <xf numFmtId="165" fontId="64" fillId="2" borderId="8" xfId="59" applyNumberFormat="1" applyFont="1" applyFill="1" applyBorder="1" applyAlignment="1">
      <alignment horizontal="center" vertical="center"/>
    </xf>
    <xf numFmtId="165" fontId="64" fillId="2" borderId="33" xfId="59" applyNumberFormat="1" applyFont="1" applyFill="1" applyBorder="1" applyAlignment="1">
      <alignment horizontal="center" vertical="center"/>
    </xf>
    <xf numFmtId="4" fontId="14" fillId="35" borderId="3" xfId="2" applyNumberFormat="1" applyFont="1" applyFill="1" applyBorder="1" applyAlignment="1">
      <alignment horizontal="center" vertical="center" wrapText="1"/>
    </xf>
    <xf numFmtId="165" fontId="64" fillId="0" borderId="0" xfId="59" applyNumberFormat="1" applyFont="1" applyAlignment="1">
      <alignment vertical="center"/>
    </xf>
    <xf numFmtId="165" fontId="10" fillId="0" borderId="0" xfId="59" applyNumberFormat="1" applyFont="1" applyAlignment="1">
      <alignment vertical="center"/>
    </xf>
    <xf numFmtId="43" fontId="14" fillId="35" borderId="3" xfId="1" applyNumberFormat="1" applyFont="1" applyFill="1" applyBorder="1" applyAlignment="1">
      <alignment horizontal="center" vertical="center" wrapText="1"/>
    </xf>
    <xf numFmtId="165" fontId="64" fillId="0" borderId="0" xfId="0" applyNumberFormat="1" applyFont="1"/>
    <xf numFmtId="174" fontId="64" fillId="0" borderId="0" xfId="0" applyNumberFormat="1" applyFont="1"/>
    <xf numFmtId="165" fontId="20" fillId="0" borderId="0" xfId="2" applyNumberFormat="1" applyFont="1" applyAlignment="1">
      <alignment vertical="center"/>
    </xf>
    <xf numFmtId="43" fontId="20" fillId="0" borderId="0" xfId="2" applyNumberFormat="1" applyFont="1" applyAlignment="1">
      <alignment vertical="center"/>
    </xf>
    <xf numFmtId="0" fontId="8" fillId="0" borderId="0" xfId="2" applyFont="1" applyFill="1" applyAlignment="1">
      <alignment vertical="center"/>
    </xf>
    <xf numFmtId="165" fontId="62" fillId="0" borderId="0" xfId="1" applyNumberFormat="1" applyFont="1" applyAlignment="1">
      <alignment vertical="center"/>
    </xf>
    <xf numFmtId="43" fontId="20" fillId="0" borderId="0" xfId="2" applyNumberFormat="1" applyFont="1"/>
    <xf numFmtId="43" fontId="64" fillId="3" borderId="0" xfId="55" applyNumberFormat="1" applyFont="1" applyFill="1"/>
    <xf numFmtId="0" fontId="54" fillId="47" borderId="3" xfId="58" applyFont="1" applyFill="1" applyBorder="1" applyAlignment="1">
      <alignment horizontal="center" vertical="center" wrapText="1"/>
    </xf>
    <xf numFmtId="41" fontId="35" fillId="47" borderId="3" xfId="2" applyNumberFormat="1" applyFont="1" applyFill="1" applyBorder="1" applyAlignment="1">
      <alignment vertical="center" wrapText="1"/>
    </xf>
    <xf numFmtId="41" fontId="35" fillId="47" borderId="36" xfId="2" applyNumberFormat="1" applyFont="1" applyFill="1" applyBorder="1" applyAlignment="1">
      <alignment vertical="center" wrapText="1"/>
    </xf>
    <xf numFmtId="41" fontId="35" fillId="3" borderId="36" xfId="2" applyNumberFormat="1" applyFont="1" applyFill="1" applyBorder="1" applyAlignment="1">
      <alignment vertical="center" wrapText="1"/>
    </xf>
    <xf numFmtId="41" fontId="14" fillId="2" borderId="3" xfId="2" applyNumberFormat="1" applyFont="1" applyFill="1" applyBorder="1" applyAlignment="1">
      <alignment horizontal="center" vertical="center"/>
    </xf>
    <xf numFmtId="164" fontId="8" fillId="0" borderId="0" xfId="1" applyNumberFormat="1" applyFont="1" applyBorder="1"/>
    <xf numFmtId="164" fontId="42" fillId="0" borderId="0" xfId="1" applyNumberFormat="1" applyFont="1"/>
    <xf numFmtId="164" fontId="8" fillId="0" borderId="0" xfId="1" applyNumberFormat="1" applyFont="1" applyBorder="1" applyAlignment="1">
      <alignment horizontal="center" vertical="center"/>
    </xf>
    <xf numFmtId="164" fontId="8" fillId="0" borderId="0" xfId="1" applyNumberFormat="1" applyFont="1" applyFill="1" applyBorder="1"/>
    <xf numFmtId="164" fontId="14" fillId="42" borderId="3" xfId="1" applyNumberFormat="1" applyFont="1" applyFill="1" applyBorder="1" applyAlignment="1">
      <alignment vertical="center"/>
    </xf>
    <xf numFmtId="175" fontId="35" fillId="0" borderId="39" xfId="2" applyNumberFormat="1" applyFont="1" applyFill="1" applyBorder="1" applyAlignment="1">
      <alignment horizontal="center" vertical="center"/>
    </xf>
    <xf numFmtId="177" fontId="35" fillId="0" borderId="39" xfId="2" applyNumberFormat="1" applyFont="1" applyFill="1" applyBorder="1" applyAlignment="1">
      <alignment horizontal="center" vertical="center"/>
    </xf>
    <xf numFmtId="176" fontId="35" fillId="2" borderId="3" xfId="2" applyNumberFormat="1" applyFont="1" applyFill="1" applyBorder="1" applyAlignment="1">
      <alignment horizontal="center" vertical="center"/>
    </xf>
    <xf numFmtId="175" fontId="35" fillId="2" borderId="3" xfId="2" applyNumberFormat="1" applyFont="1" applyFill="1" applyBorder="1" applyAlignment="1">
      <alignment horizontal="center" vertical="center"/>
    </xf>
    <xf numFmtId="175" fontId="35" fillId="2" borderId="19" xfId="2" applyNumberFormat="1" applyFont="1" applyFill="1" applyBorder="1" applyAlignment="1">
      <alignment horizontal="center" vertical="center"/>
    </xf>
    <xf numFmtId="177" fontId="35" fillId="2" borderId="3" xfId="2" applyNumberFormat="1" applyFont="1" applyFill="1" applyBorder="1" applyAlignment="1">
      <alignment horizontal="center" vertical="center"/>
    </xf>
    <xf numFmtId="177" fontId="35" fillId="2" borderId="19" xfId="2" applyNumberFormat="1" applyFont="1" applyFill="1" applyBorder="1" applyAlignment="1">
      <alignment horizontal="center" vertical="center"/>
    </xf>
    <xf numFmtId="175" fontId="14" fillId="0" borderId="39" xfId="2" applyNumberFormat="1" applyFont="1" applyFill="1" applyBorder="1" applyAlignment="1">
      <alignment horizontal="center" vertical="center"/>
    </xf>
    <xf numFmtId="177" fontId="14" fillId="0" borderId="39" xfId="2" applyNumberFormat="1" applyFont="1" applyFill="1" applyBorder="1" applyAlignment="1">
      <alignment horizontal="center" vertical="center"/>
    </xf>
    <xf numFmtId="165" fontId="35" fillId="0" borderId="39" xfId="1" applyNumberFormat="1" applyFont="1" applyFill="1" applyBorder="1" applyAlignment="1">
      <alignment horizontal="center" vertical="center"/>
    </xf>
    <xf numFmtId="178" fontId="35" fillId="0" borderId="39" xfId="1" applyNumberFormat="1" applyFont="1" applyFill="1" applyBorder="1" applyAlignment="1">
      <alignment horizontal="center" vertical="center"/>
    </xf>
    <xf numFmtId="175" fontId="14" fillId="0" borderId="140" xfId="2" applyNumberFormat="1" applyFont="1" applyFill="1" applyBorder="1" applyAlignment="1">
      <alignment horizontal="center" vertical="center"/>
    </xf>
    <xf numFmtId="175" fontId="14" fillId="0" borderId="56" xfId="2" applyNumberFormat="1" applyFont="1" applyFill="1" applyBorder="1" applyAlignment="1">
      <alignment horizontal="center" vertical="center"/>
    </xf>
    <xf numFmtId="175" fontId="14" fillId="0" borderId="5" xfId="2" applyNumberFormat="1" applyFont="1" applyFill="1" applyBorder="1" applyAlignment="1">
      <alignment horizontal="center" vertical="center"/>
    </xf>
    <xf numFmtId="175" fontId="14" fillId="0" borderId="8" xfId="2" applyNumberFormat="1" applyFont="1" applyFill="1" applyBorder="1" applyAlignment="1">
      <alignment horizontal="center" vertical="center"/>
    </xf>
    <xf numFmtId="175" fontId="14" fillId="0" borderId="52" xfId="2" applyNumberFormat="1" applyFont="1" applyFill="1" applyBorder="1" applyAlignment="1">
      <alignment horizontal="center" vertical="center"/>
    </xf>
    <xf numFmtId="175" fontId="14" fillId="0" borderId="120" xfId="2" applyNumberFormat="1" applyFont="1" applyFill="1" applyBorder="1" applyAlignment="1">
      <alignment horizontal="center" vertical="center"/>
    </xf>
    <xf numFmtId="175" fontId="14" fillId="0" borderId="121" xfId="2" applyNumberFormat="1" applyFont="1" applyFill="1" applyBorder="1" applyAlignment="1">
      <alignment horizontal="center" vertical="center"/>
    </xf>
    <xf numFmtId="175" fontId="14" fillId="0" borderId="3" xfId="2" applyNumberFormat="1" applyFont="1" applyFill="1" applyBorder="1" applyAlignment="1">
      <alignment horizontal="center" vertical="center"/>
    </xf>
    <xf numFmtId="0" fontId="8" fillId="0" borderId="4" xfId="2" applyFont="1" applyBorder="1" applyAlignment="1" applyProtection="1">
      <alignment vertical="center" wrapText="1"/>
      <protection locked="0"/>
    </xf>
    <xf numFmtId="176" fontId="14" fillId="42" borderId="3" xfId="2" applyNumberFormat="1" applyFont="1" applyFill="1" applyBorder="1" applyAlignment="1">
      <alignment vertical="center"/>
    </xf>
    <xf numFmtId="43" fontId="8" fillId="0" borderId="0" xfId="1" applyFont="1" applyBorder="1"/>
    <xf numFmtId="43" fontId="42" fillId="0" borderId="0" xfId="1" applyFont="1"/>
    <xf numFmtId="43" fontId="8" fillId="0" borderId="0" xfId="1" applyFont="1" applyBorder="1" applyAlignment="1">
      <alignment horizontal="center" vertical="center"/>
    </xf>
    <xf numFmtId="43" fontId="8" fillId="0" borderId="0" xfId="1" applyFont="1" applyFill="1" applyBorder="1"/>
    <xf numFmtId="176" fontId="35" fillId="0" borderId="39" xfId="2" applyNumberFormat="1" applyFont="1" applyFill="1" applyBorder="1" applyAlignment="1">
      <alignment horizontal="center" vertical="center"/>
    </xf>
    <xf numFmtId="176" fontId="14" fillId="0" borderId="39" xfId="2" applyNumberFormat="1" applyFont="1" applyFill="1" applyBorder="1" applyAlignment="1">
      <alignment horizontal="center" vertical="center"/>
    </xf>
    <xf numFmtId="179" fontId="13" fillId="42" borderId="3" xfId="2" applyNumberFormat="1" applyFont="1" applyFill="1" applyBorder="1" applyAlignment="1">
      <alignment horizontal="center" vertical="center"/>
    </xf>
    <xf numFmtId="49" fontId="8" fillId="5" borderId="4" xfId="2" applyNumberFormat="1" applyFont="1" applyFill="1" applyBorder="1" applyAlignment="1">
      <alignment horizontal="center" vertical="center" wrapText="1"/>
    </xf>
    <xf numFmtId="49" fontId="20" fillId="5" borderId="23" xfId="2" applyNumberFormat="1" applyFont="1" applyFill="1" applyBorder="1" applyAlignment="1">
      <alignment horizontal="left" vertical="center" wrapText="1"/>
    </xf>
    <xf numFmtId="49" fontId="8" fillId="5" borderId="48" xfId="2" applyNumberFormat="1" applyFont="1" applyFill="1" applyBorder="1" applyAlignment="1">
      <alignment horizontal="left" vertical="center" wrapText="1"/>
    </xf>
    <xf numFmtId="43" fontId="64" fillId="0" borderId="0" xfId="0" applyNumberFormat="1" applyFont="1"/>
    <xf numFmtId="43" fontId="64" fillId="49" borderId="0" xfId="0" applyNumberFormat="1" applyFont="1" applyFill="1"/>
    <xf numFmtId="165" fontId="64" fillId="3" borderId="0" xfId="55" applyNumberFormat="1" applyFont="1" applyFill="1"/>
    <xf numFmtId="49" fontId="124" fillId="3" borderId="5" xfId="55" applyNumberFormat="1" applyFont="1" applyFill="1" applyBorder="1" applyAlignment="1">
      <alignment horizontal="left" vertical="center" wrapText="1"/>
    </xf>
    <xf numFmtId="49" fontId="54" fillId="3" borderId="4" xfId="40" applyNumberFormat="1" applyFont="1" applyFill="1" applyBorder="1" applyAlignment="1">
      <alignment horizontal="left" vertical="center" wrapText="1"/>
    </xf>
    <xf numFmtId="49" fontId="55" fillId="3" borderId="51" xfId="55" applyNumberFormat="1" applyFont="1" applyFill="1" applyBorder="1" applyAlignment="1">
      <alignment horizontal="left" vertical="center" wrapText="1"/>
    </xf>
    <xf numFmtId="41" fontId="88" fillId="0" borderId="0" xfId="0" applyNumberFormat="1" applyFont="1" applyBorder="1" applyAlignment="1">
      <alignment vertical="center"/>
    </xf>
    <xf numFmtId="41" fontId="88" fillId="0" borderId="0" xfId="0" applyNumberFormat="1" applyFont="1" applyBorder="1"/>
    <xf numFmtId="41" fontId="8" fillId="0" borderId="18" xfId="2" applyNumberFormat="1" applyBorder="1"/>
    <xf numFmtId="41" fontId="35" fillId="58" borderId="3" xfId="2" applyNumberFormat="1" applyFont="1" applyFill="1" applyBorder="1" applyAlignment="1">
      <alignment vertical="center" wrapText="1"/>
    </xf>
    <xf numFmtId="0" fontId="8" fillId="58" borderId="47" xfId="2" applyFill="1" applyBorder="1" applyAlignment="1">
      <alignment horizontal="center"/>
    </xf>
    <xf numFmtId="41" fontId="35" fillId="58" borderId="36" xfId="2" applyNumberFormat="1" applyFont="1" applyFill="1" applyBorder="1" applyAlignment="1">
      <alignment vertical="center" wrapText="1"/>
    </xf>
    <xf numFmtId="0" fontId="8" fillId="58" borderId="4" xfId="2" applyFill="1" applyBorder="1" applyAlignment="1">
      <alignment horizontal="center"/>
    </xf>
    <xf numFmtId="41" fontId="35" fillId="58" borderId="52" xfId="2" applyNumberFormat="1" applyFont="1" applyFill="1" applyBorder="1" applyAlignment="1">
      <alignment vertical="center" wrapText="1"/>
    </xf>
    <xf numFmtId="0" fontId="8" fillId="58" borderId="3" xfId="2" applyFill="1" applyBorder="1" applyAlignment="1">
      <alignment horizontal="center"/>
    </xf>
    <xf numFmtId="0" fontId="8" fillId="58" borderId="57" xfId="2" applyFill="1" applyBorder="1" applyAlignment="1">
      <alignment horizontal="center"/>
    </xf>
    <xf numFmtId="0" fontId="9" fillId="2" borderId="0" xfId="2" applyFont="1" applyFill="1" applyBorder="1" applyAlignment="1">
      <alignment horizontal="right"/>
    </xf>
    <xf numFmtId="164" fontId="8" fillId="0" borderId="0" xfId="1" applyNumberFormat="1" applyFont="1" applyBorder="1" applyAlignment="1">
      <alignment horizontal="center" vertical="center"/>
    </xf>
    <xf numFmtId="49" fontId="57" fillId="0" borderId="27" xfId="2" applyNumberFormat="1" applyFont="1" applyFill="1" applyBorder="1" applyAlignment="1">
      <alignment horizontal="center" vertical="center" wrapText="1"/>
    </xf>
    <xf numFmtId="49" fontId="57" fillId="0" borderId="45" xfId="2" applyNumberFormat="1" applyFont="1" applyFill="1" applyBorder="1" applyAlignment="1">
      <alignment horizontal="center" vertical="center" wrapText="1"/>
    </xf>
    <xf numFmtId="49" fontId="57" fillId="0" borderId="28" xfId="2" applyNumberFormat="1" applyFont="1" applyFill="1" applyBorder="1" applyAlignment="1">
      <alignment horizontal="center" vertical="center" wrapText="1"/>
    </xf>
    <xf numFmtId="49" fontId="61" fillId="45" borderId="4" xfId="0" applyNumberFormat="1" applyFont="1" applyFill="1" applyBorder="1" applyAlignment="1">
      <alignment horizontal="left" vertical="center" wrapText="1"/>
    </xf>
    <xf numFmtId="49" fontId="61" fillId="45" borderId="5" xfId="0" applyNumberFormat="1" applyFont="1" applyFill="1" applyBorder="1" applyAlignment="1">
      <alignment horizontal="left" vertical="center" wrapText="1"/>
    </xf>
    <xf numFmtId="0" fontId="80" fillId="2" borderId="0" xfId="2" applyFont="1" applyFill="1" applyBorder="1" applyAlignment="1">
      <alignment horizontal="left"/>
    </xf>
    <xf numFmtId="49" fontId="34" fillId="3" borderId="5" xfId="0" applyNumberFormat="1" applyFont="1" applyFill="1" applyBorder="1" applyAlignment="1">
      <alignment horizontal="left" vertical="center" wrapText="1"/>
    </xf>
    <xf numFmtId="0" fontId="64" fillId="3" borderId="0" xfId="55" applyFont="1" applyFill="1" applyBorder="1"/>
    <xf numFmtId="165" fontId="64" fillId="3" borderId="110" xfId="1" applyNumberFormat="1" applyFont="1" applyFill="1" applyBorder="1"/>
    <xf numFmtId="165" fontId="69" fillId="45" borderId="33" xfId="1" applyNumberFormat="1" applyFont="1" applyFill="1" applyBorder="1" applyAlignment="1">
      <alignment horizontal="left" wrapText="1"/>
    </xf>
    <xf numFmtId="165" fontId="146" fillId="30" borderId="33" xfId="1" applyNumberFormat="1" applyFont="1" applyFill="1" applyBorder="1" applyAlignment="1">
      <alignment horizontal="left" wrapText="1"/>
    </xf>
    <xf numFmtId="165" fontId="124" fillId="45" borderId="6" xfId="1" applyNumberFormat="1" applyFont="1" applyFill="1" applyBorder="1" applyAlignment="1">
      <alignment horizontal="left" vertical="center" wrapText="1" indent="1"/>
    </xf>
    <xf numFmtId="41" fontId="35" fillId="32" borderId="19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/>
    <xf numFmtId="0" fontId="80" fillId="3" borderId="0" xfId="2" applyFont="1" applyFill="1" applyBorder="1" applyAlignment="1"/>
    <xf numFmtId="0" fontId="115" fillId="59" borderId="153" xfId="0" applyFont="1" applyFill="1" applyBorder="1" applyAlignment="1">
      <alignment horizontal="center" vertical="center"/>
    </xf>
    <xf numFmtId="0" fontId="116" fillId="59" borderId="153" xfId="0" applyFont="1" applyFill="1" applyBorder="1" applyAlignment="1"/>
    <xf numFmtId="0" fontId="116" fillId="59" borderId="153" xfId="0" applyFont="1" applyFill="1" applyBorder="1" applyAlignment="1">
      <alignment horizontal="center"/>
    </xf>
    <xf numFmtId="0" fontId="115" fillId="59" borderId="158" xfId="0" applyFont="1" applyFill="1" applyBorder="1" applyAlignment="1">
      <alignment horizontal="center" vertical="center"/>
    </xf>
    <xf numFmtId="0" fontId="116" fillId="59" borderId="158" xfId="0" applyFont="1" applyFill="1" applyBorder="1" applyAlignment="1"/>
    <xf numFmtId="0" fontId="116" fillId="59" borderId="158" xfId="0" applyFont="1" applyFill="1" applyBorder="1" applyAlignment="1">
      <alignment horizontal="center"/>
    </xf>
    <xf numFmtId="41" fontId="14" fillId="2" borderId="19" xfId="2" applyNumberFormat="1" applyFont="1" applyFill="1" applyBorder="1" applyAlignment="1">
      <alignment horizontal="center" vertical="center"/>
    </xf>
    <xf numFmtId="41" fontId="35" fillId="0" borderId="3" xfId="2" applyNumberFormat="1" applyFont="1" applyFill="1" applyBorder="1" applyAlignment="1">
      <alignment horizontal="center" vertical="center"/>
    </xf>
    <xf numFmtId="41" fontId="35" fillId="47" borderId="3" xfId="2" applyNumberFormat="1" applyFont="1" applyFill="1" applyBorder="1" applyAlignment="1">
      <alignment horizontal="center" vertical="center"/>
    </xf>
    <xf numFmtId="41" fontId="35" fillId="3" borderId="3" xfId="2" applyNumberFormat="1" applyFont="1" applyFill="1" applyBorder="1" applyAlignment="1">
      <alignment vertical="center" wrapText="1"/>
    </xf>
    <xf numFmtId="0" fontId="8" fillId="3" borderId="47" xfId="2" applyFill="1" applyBorder="1" applyAlignment="1">
      <alignment horizontal="center"/>
    </xf>
    <xf numFmtId="175" fontId="35" fillId="3" borderId="39" xfId="2" applyNumberFormat="1" applyFont="1" applyFill="1" applyBorder="1" applyAlignment="1">
      <alignment horizontal="center" vertical="center"/>
    </xf>
    <xf numFmtId="41" fontId="14" fillId="3" borderId="56" xfId="2" applyNumberFormat="1" applyFont="1" applyFill="1" applyBorder="1" applyAlignment="1">
      <alignment horizontal="center" vertical="center"/>
    </xf>
    <xf numFmtId="0" fontId="8" fillId="3" borderId="4" xfId="2" applyFill="1" applyBorder="1" applyAlignment="1">
      <alignment horizontal="center"/>
    </xf>
    <xf numFmtId="41" fontId="14" fillId="3" borderId="3" xfId="2" applyNumberFormat="1" applyFont="1" applyFill="1" applyBorder="1" applyAlignment="1">
      <alignment horizontal="center" vertical="center"/>
    </xf>
    <xf numFmtId="0" fontId="8" fillId="3" borderId="50" xfId="2" applyFill="1" applyBorder="1" applyAlignment="1">
      <alignment horizontal="center"/>
    </xf>
    <xf numFmtId="41" fontId="35" fillId="3" borderId="52" xfId="2" applyNumberFormat="1" applyFont="1" applyFill="1" applyBorder="1" applyAlignment="1">
      <alignment vertical="center" wrapText="1"/>
    </xf>
    <xf numFmtId="175" fontId="35" fillId="3" borderId="3" xfId="2" applyNumberFormat="1" applyFont="1" applyFill="1" applyBorder="1" applyAlignment="1">
      <alignment horizontal="center" vertical="center"/>
    </xf>
    <xf numFmtId="41" fontId="35" fillId="3" borderId="3" xfId="2" applyNumberFormat="1" applyFont="1" applyFill="1" applyBorder="1" applyAlignment="1">
      <alignment horizontal="center" vertical="center"/>
    </xf>
    <xf numFmtId="41" fontId="35" fillId="3" borderId="19" xfId="2" applyNumberFormat="1" applyFont="1" applyFill="1" applyBorder="1" applyAlignment="1">
      <alignment horizontal="center" vertical="center"/>
    </xf>
    <xf numFmtId="175" fontId="14" fillId="3" borderId="39" xfId="2" applyNumberFormat="1" applyFont="1" applyFill="1" applyBorder="1" applyAlignment="1">
      <alignment horizontal="center" vertical="center"/>
    </xf>
    <xf numFmtId="175" fontId="14" fillId="3" borderId="140" xfId="2" applyNumberFormat="1" applyFont="1" applyFill="1" applyBorder="1" applyAlignment="1">
      <alignment horizontal="center" vertical="center"/>
    </xf>
    <xf numFmtId="175" fontId="14" fillId="3" borderId="56" xfId="2" applyNumberFormat="1" applyFont="1" applyFill="1" applyBorder="1" applyAlignment="1">
      <alignment horizontal="center" vertical="center"/>
    </xf>
    <xf numFmtId="175" fontId="35" fillId="3" borderId="19" xfId="2" applyNumberFormat="1" applyFont="1" applyFill="1" applyBorder="1" applyAlignment="1">
      <alignment horizontal="center" vertical="center"/>
    </xf>
    <xf numFmtId="176" fontId="35" fillId="3" borderId="3" xfId="2" applyNumberFormat="1" applyFont="1" applyFill="1" applyBorder="1" applyAlignment="1">
      <alignment horizontal="center" vertical="center"/>
    </xf>
    <xf numFmtId="0" fontId="8" fillId="3" borderId="57" xfId="2" applyFill="1" applyBorder="1" applyAlignment="1">
      <alignment horizontal="center"/>
    </xf>
    <xf numFmtId="41" fontId="35" fillId="3" borderId="39" xfId="2" applyNumberFormat="1" applyFont="1" applyFill="1" applyBorder="1" applyAlignment="1">
      <alignment vertical="center" wrapText="1"/>
    </xf>
    <xf numFmtId="41" fontId="35" fillId="3" borderId="39" xfId="2" applyNumberFormat="1" applyFont="1" applyFill="1" applyBorder="1" applyAlignment="1">
      <alignment horizontal="center" vertical="center"/>
    </xf>
    <xf numFmtId="41" fontId="14" fillId="3" borderId="39" xfId="2" applyNumberFormat="1" applyFont="1" applyFill="1" applyBorder="1" applyAlignment="1">
      <alignment horizontal="center" vertical="center"/>
    </xf>
    <xf numFmtId="41" fontId="14" fillId="3" borderId="140" xfId="2" applyNumberFormat="1" applyFont="1" applyFill="1" applyBorder="1" applyAlignment="1">
      <alignment horizontal="center" vertical="center"/>
    </xf>
    <xf numFmtId="41" fontId="35" fillId="3" borderId="5" xfId="2" applyNumberFormat="1" applyFont="1" applyFill="1" applyBorder="1" applyAlignment="1">
      <alignment vertical="center" wrapText="1"/>
    </xf>
    <xf numFmtId="41" fontId="35" fillId="3" borderId="5" xfId="2" applyNumberFormat="1" applyFont="1" applyFill="1" applyBorder="1" applyAlignment="1">
      <alignment horizontal="center" vertical="center"/>
    </xf>
    <xf numFmtId="41" fontId="14" fillId="3" borderId="5" xfId="2" applyNumberFormat="1" applyFont="1" applyFill="1" applyBorder="1" applyAlignment="1">
      <alignment horizontal="center" vertical="center"/>
    </xf>
    <xf numFmtId="41" fontId="14" fillId="3" borderId="120" xfId="2" applyNumberFormat="1" applyFont="1" applyFill="1" applyBorder="1" applyAlignment="1">
      <alignment horizontal="center" vertical="center"/>
    </xf>
    <xf numFmtId="41" fontId="35" fillId="3" borderId="52" xfId="2" applyNumberFormat="1" applyFont="1" applyFill="1" applyBorder="1" applyAlignment="1">
      <alignment horizontal="center" vertical="center"/>
    </xf>
    <xf numFmtId="41" fontId="35" fillId="3" borderId="8" xfId="2" applyNumberFormat="1" applyFont="1" applyFill="1" applyBorder="1" applyAlignment="1">
      <alignment horizontal="center" vertical="center"/>
    </xf>
    <xf numFmtId="41" fontId="14" fillId="3" borderId="8" xfId="2" applyNumberFormat="1" applyFont="1" applyFill="1" applyBorder="1" applyAlignment="1">
      <alignment horizontal="center" vertical="center"/>
    </xf>
    <xf numFmtId="41" fontId="14" fillId="3" borderId="52" xfId="2" applyNumberFormat="1" applyFont="1" applyFill="1" applyBorder="1" applyAlignment="1">
      <alignment horizontal="center" vertical="center"/>
    </xf>
    <xf numFmtId="41" fontId="14" fillId="3" borderId="121" xfId="2" applyNumberFormat="1" applyFont="1" applyFill="1" applyBorder="1" applyAlignment="1">
      <alignment horizontal="center" vertical="center"/>
    </xf>
    <xf numFmtId="175" fontId="14" fillId="3" borderId="120" xfId="2" applyNumberFormat="1" applyFont="1" applyFill="1" applyBorder="1" applyAlignment="1">
      <alignment horizontal="center" vertical="center"/>
    </xf>
    <xf numFmtId="175" fontId="14" fillId="3" borderId="3" xfId="2" applyNumberFormat="1" applyFont="1" applyFill="1" applyBorder="1" applyAlignment="1">
      <alignment horizontal="center" vertical="center"/>
    </xf>
    <xf numFmtId="175" fontId="14" fillId="3" borderId="8" xfId="2" applyNumberFormat="1" applyFont="1" applyFill="1" applyBorder="1" applyAlignment="1">
      <alignment horizontal="center" vertical="center"/>
    </xf>
    <xf numFmtId="175" fontId="14" fillId="3" borderId="52" xfId="2" applyNumberFormat="1" applyFont="1" applyFill="1" applyBorder="1" applyAlignment="1">
      <alignment horizontal="center" vertical="center"/>
    </xf>
    <xf numFmtId="175" fontId="14" fillId="3" borderId="121" xfId="2" applyNumberFormat="1" applyFont="1" applyFill="1" applyBorder="1" applyAlignment="1">
      <alignment horizontal="center" vertical="center"/>
    </xf>
    <xf numFmtId="0" fontId="116" fillId="51" borderId="3" xfId="52" applyFont="1" applyFill="1" applyBorder="1" applyAlignment="1">
      <alignment horizontal="center"/>
    </xf>
    <xf numFmtId="0" fontId="133" fillId="50" borderId="3" xfId="52" applyFont="1" applyFill="1" applyBorder="1" applyAlignment="1">
      <alignment horizontal="center" vertical="center" wrapText="1"/>
    </xf>
    <xf numFmtId="0" fontId="116" fillId="52" borderId="3" xfId="52" applyFont="1" applyFill="1" applyBorder="1" applyAlignment="1">
      <alignment horizontal="center"/>
    </xf>
    <xf numFmtId="49" fontId="163" fillId="5" borderId="4" xfId="0" applyNumberFormat="1" applyFont="1" applyFill="1" applyBorder="1" applyAlignment="1">
      <alignment horizontal="left" vertical="center" wrapText="1"/>
    </xf>
    <xf numFmtId="49" fontId="163" fillId="5" borderId="5" xfId="0" applyNumberFormat="1" applyFont="1" applyFill="1" applyBorder="1" applyAlignment="1">
      <alignment horizontal="left" vertical="center" wrapText="1"/>
    </xf>
    <xf numFmtId="165" fontId="64" fillId="3" borderId="6" xfId="1" applyNumberFormat="1" applyFont="1" applyFill="1" applyBorder="1" applyAlignment="1">
      <alignment horizontal="right" wrapText="1"/>
    </xf>
    <xf numFmtId="165" fontId="61" fillId="45" borderId="6" xfId="1" applyNumberFormat="1" applyFont="1" applyFill="1" applyBorder="1" applyAlignment="1">
      <alignment horizontal="left" wrapText="1"/>
    </xf>
    <xf numFmtId="165" fontId="61" fillId="49" borderId="6" xfId="1" applyNumberFormat="1" applyFont="1" applyFill="1" applyBorder="1" applyAlignment="1">
      <alignment horizontal="left" wrapText="1"/>
    </xf>
    <xf numFmtId="165" fontId="57" fillId="45" borderId="33" xfId="1" applyNumberFormat="1" applyFont="1" applyFill="1" applyBorder="1" applyAlignment="1">
      <alignment horizontal="right" wrapText="1"/>
    </xf>
    <xf numFmtId="0" fontId="116" fillId="51" borderId="3" xfId="52" applyFont="1" applyFill="1" applyBorder="1"/>
    <xf numFmtId="3" fontId="116" fillId="51" borderId="3" xfId="52" applyNumberFormat="1" applyFont="1" applyFill="1" applyBorder="1" applyAlignment="1">
      <alignment horizontal="center"/>
    </xf>
    <xf numFmtId="1" fontId="116" fillId="51" borderId="3" xfId="52" applyNumberFormat="1" applyFont="1" applyFill="1" applyBorder="1" applyAlignment="1">
      <alignment horizontal="center"/>
    </xf>
    <xf numFmtId="0" fontId="116" fillId="51" borderId="3" xfId="52" applyFont="1" applyFill="1" applyBorder="1" applyAlignment="1">
      <alignment wrapText="1"/>
    </xf>
    <xf numFmtId="0" fontId="116" fillId="51" borderId="3" xfId="52" quotePrefix="1" applyFont="1" applyFill="1" applyBorder="1" applyAlignment="1">
      <alignment horizontal="center"/>
    </xf>
    <xf numFmtId="0" fontId="116" fillId="51" borderId="124" xfId="52" applyFont="1" applyFill="1" applyBorder="1" applyAlignment="1">
      <alignment wrapText="1"/>
    </xf>
    <xf numFmtId="0" fontId="116" fillId="51" borderId="124" xfId="52" applyFont="1" applyFill="1" applyBorder="1" applyAlignment="1">
      <alignment horizontal="center"/>
    </xf>
    <xf numFmtId="0" fontId="116" fillId="51" borderId="124" xfId="52" applyFont="1" applyFill="1" applyBorder="1"/>
    <xf numFmtId="0" fontId="118" fillId="0" borderId="122" xfId="52" applyFont="1" applyBorder="1"/>
    <xf numFmtId="165" fontId="122" fillId="0" borderId="122" xfId="1" applyNumberFormat="1" applyFont="1" applyBorder="1" applyAlignment="1">
      <alignment horizontal="center"/>
    </xf>
    <xf numFmtId="0" fontId="116" fillId="0" borderId="0" xfId="52" applyFont="1" applyAlignment="1">
      <alignment horizontal="center" vertical="center" wrapText="1"/>
    </xf>
    <xf numFmtId="0" fontId="115" fillId="3" borderId="0" xfId="52" applyFont="1" applyFill="1"/>
    <xf numFmtId="0" fontId="115" fillId="3" borderId="0" xfId="52" applyFont="1" applyFill="1" applyAlignment="1">
      <alignment horizontal="left"/>
    </xf>
    <xf numFmtId="0" fontId="115" fillId="60" borderId="3" xfId="52" applyFont="1" applyFill="1" applyBorder="1" applyAlignment="1">
      <alignment horizontal="center" vertical="center"/>
    </xf>
    <xf numFmtId="0" fontId="116" fillId="60" borderId="3" xfId="52" applyFont="1" applyFill="1" applyBorder="1"/>
    <xf numFmtId="47" fontId="116" fillId="60" borderId="3" xfId="52" applyNumberFormat="1" applyFont="1" applyFill="1" applyBorder="1" applyAlignment="1">
      <alignment horizontal="center"/>
    </xf>
    <xf numFmtId="20" fontId="116" fillId="60" borderId="3" xfId="52" applyNumberFormat="1" applyFont="1" applyFill="1" applyBorder="1" applyAlignment="1">
      <alignment horizontal="center"/>
    </xf>
    <xf numFmtId="0" fontId="116" fillId="60" borderId="3" xfId="52" applyFont="1" applyFill="1" applyBorder="1" applyAlignment="1">
      <alignment horizontal="center"/>
    </xf>
    <xf numFmtId="0" fontId="116" fillId="60" borderId="3" xfId="52" applyFont="1" applyFill="1" applyBorder="1" applyAlignment="1">
      <alignment wrapText="1"/>
    </xf>
    <xf numFmtId="0" fontId="116" fillId="45" borderId="3" xfId="52" applyFont="1" applyFill="1" applyBorder="1" applyAlignment="1">
      <alignment horizontal="center" vertical="center" textRotation="90" wrapText="1"/>
    </xf>
    <xf numFmtId="0" fontId="116" fillId="45" borderId="3" xfId="52" applyFont="1" applyFill="1" applyBorder="1" applyAlignment="1">
      <alignment vertical="center"/>
    </xf>
    <xf numFmtId="0" fontId="116" fillId="45" borderId="3" xfId="52" applyFont="1" applyFill="1" applyBorder="1" applyAlignment="1">
      <alignment horizontal="center" vertical="center"/>
    </xf>
    <xf numFmtId="0" fontId="116" fillId="52" borderId="3" xfId="52" applyFont="1" applyFill="1" applyBorder="1"/>
    <xf numFmtId="0" fontId="116" fillId="52" borderId="3" xfId="52" applyFont="1" applyFill="1" applyBorder="1" applyAlignment="1">
      <alignment horizontal="center" vertical="top" wrapText="1"/>
    </xf>
    <xf numFmtId="0" fontId="116" fillId="52" borderId="59" xfId="52" applyFont="1" applyFill="1" applyBorder="1" applyAlignment="1">
      <alignment wrapText="1"/>
    </xf>
    <xf numFmtId="0" fontId="115" fillId="52" borderId="59" xfId="52" applyFont="1" applyFill="1" applyBorder="1" applyAlignment="1">
      <alignment horizontal="center" vertical="center"/>
    </xf>
    <xf numFmtId="0" fontId="116" fillId="52" borderId="59" xfId="52" applyFont="1" applyFill="1" applyBorder="1" applyAlignment="1">
      <alignment horizontal="center"/>
    </xf>
    <xf numFmtId="0" fontId="116" fillId="52" borderId="59" xfId="52" applyFont="1" applyFill="1" applyBorder="1"/>
    <xf numFmtId="0" fontId="116" fillId="52" borderId="59" xfId="52" quotePrefix="1" applyFont="1" applyFill="1" applyBorder="1" applyAlignment="1">
      <alignment horizontal="center"/>
    </xf>
    <xf numFmtId="0" fontId="116" fillId="52" borderId="124" xfId="52" applyFont="1" applyFill="1" applyBorder="1" applyAlignment="1">
      <alignment horizontal="left" wrapText="1"/>
    </xf>
    <xf numFmtId="0" fontId="116" fillId="52" borderId="124" xfId="52" applyFont="1" applyFill="1" applyBorder="1" applyAlignment="1">
      <alignment horizontal="center"/>
    </xf>
    <xf numFmtId="0" fontId="116" fillId="52" borderId="124" xfId="52" quotePrefix="1" applyFont="1" applyFill="1" applyBorder="1" applyAlignment="1">
      <alignment horizontal="center"/>
    </xf>
    <xf numFmtId="0" fontId="116" fillId="0" borderId="0" xfId="52" applyFont="1" applyAlignment="1">
      <alignment horizontal="center" vertical="center" textRotation="90" wrapText="1"/>
    </xf>
    <xf numFmtId="0" fontId="115" fillId="0" borderId="0" xfId="52" applyFont="1" applyAlignment="1">
      <alignment horizontal="center" vertical="center"/>
    </xf>
    <xf numFmtId="0" fontId="116" fillId="0" borderId="0" xfId="52" applyFont="1" applyAlignment="1">
      <alignment horizontal="left"/>
    </xf>
    <xf numFmtId="0" fontId="116" fillId="51" borderId="3" xfId="52" applyFont="1" applyFill="1" applyBorder="1" applyAlignment="1">
      <alignment horizontal="center" vertical="center"/>
    </xf>
    <xf numFmtId="0" fontId="116" fillId="51" borderId="3" xfId="52" applyFont="1" applyFill="1" applyBorder="1" applyAlignment="1">
      <alignment vertical="center"/>
    </xf>
    <xf numFmtId="0" fontId="116" fillId="51" borderId="3" xfId="52" applyFont="1" applyFill="1" applyBorder="1" applyAlignment="1">
      <alignment horizontal="center" vertical="center" wrapText="1"/>
    </xf>
    <xf numFmtId="0" fontId="116" fillId="51" borderId="3" xfId="52" quotePrefix="1" applyFont="1" applyFill="1" applyBorder="1" applyAlignment="1">
      <alignment horizontal="center" vertical="center"/>
    </xf>
    <xf numFmtId="9" fontId="116" fillId="51" borderId="3" xfId="52" applyNumberFormat="1" applyFont="1" applyFill="1" applyBorder="1" applyAlignment="1">
      <alignment horizontal="center" vertical="center"/>
    </xf>
    <xf numFmtId="0" fontId="116" fillId="60" borderId="3" xfId="52" applyFont="1" applyFill="1" applyBorder="1" applyAlignment="1">
      <alignment vertical="center" wrapText="1"/>
    </xf>
    <xf numFmtId="0" fontId="93" fillId="41" borderId="3" xfId="0" applyFont="1" applyFill="1" applyBorder="1" applyAlignment="1">
      <alignment horizontal="left" indent="3"/>
    </xf>
    <xf numFmtId="165" fontId="77" fillId="2" borderId="0" xfId="1" applyNumberFormat="1" applyFont="1" applyFill="1" applyBorder="1" applyAlignment="1">
      <alignment horizontal="left"/>
    </xf>
    <xf numFmtId="165" fontId="104" fillId="2" borderId="0" xfId="1" applyNumberFormat="1" applyFont="1" applyFill="1" applyAlignment="1">
      <alignment horizontal="center" vertical="center" wrapText="1"/>
    </xf>
    <xf numFmtId="165" fontId="55" fillId="3" borderId="3" xfId="1" applyNumberFormat="1" applyFont="1" applyFill="1" applyBorder="1" applyAlignment="1">
      <alignment horizontal="right" wrapText="1"/>
    </xf>
    <xf numFmtId="165" fontId="55" fillId="3" borderId="3" xfId="1" applyNumberFormat="1" applyFont="1" applyFill="1" applyBorder="1" applyAlignment="1">
      <alignment horizontal="right" vertical="center" wrapText="1"/>
    </xf>
    <xf numFmtId="165" fontId="55" fillId="3" borderId="0" xfId="1" applyNumberFormat="1" applyFont="1" applyFill="1" applyBorder="1" applyAlignment="1">
      <alignment horizontal="right" vertical="center" wrapText="1"/>
    </xf>
    <xf numFmtId="165" fontId="124" fillId="3" borderId="3" xfId="1" applyNumberFormat="1" applyFont="1" applyFill="1" applyBorder="1" applyAlignment="1">
      <alignment horizontal="right" vertical="center" wrapText="1"/>
    </xf>
    <xf numFmtId="165" fontId="8" fillId="0" borderId="5" xfId="30" applyNumberFormat="1" applyFont="1" applyBorder="1" applyAlignment="1" applyProtection="1">
      <alignment vertical="center"/>
      <protection locked="0"/>
    </xf>
    <xf numFmtId="165" fontId="8" fillId="0" borderId="36" xfId="30" applyNumberFormat="1" applyFont="1" applyBorder="1" applyAlignment="1" applyProtection="1">
      <alignment vertical="center"/>
      <protection locked="0"/>
    </xf>
    <xf numFmtId="165" fontId="64" fillId="58" borderId="6" xfId="1" applyNumberFormat="1" applyFont="1" applyFill="1" applyBorder="1" applyAlignment="1">
      <alignment horizontal="right" wrapText="1"/>
    </xf>
    <xf numFmtId="0" fontId="14" fillId="3" borderId="0" xfId="2" applyFont="1" applyFill="1" applyBorder="1" applyAlignment="1">
      <alignment horizontal="right" vertical="center"/>
    </xf>
    <xf numFmtId="0" fontId="35" fillId="2" borderId="49" xfId="2" applyFont="1" applyFill="1" applyBorder="1" applyAlignment="1">
      <alignment vertical="center"/>
    </xf>
    <xf numFmtId="0" fontId="38" fillId="31" borderId="3" xfId="2" applyFont="1" applyFill="1" applyBorder="1" applyAlignment="1">
      <alignment horizontal="center" vertical="center" wrapText="1"/>
    </xf>
    <xf numFmtId="41" fontId="35" fillId="2" borderId="4" xfId="2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left"/>
    </xf>
    <xf numFmtId="166" fontId="35" fillId="2" borderId="36" xfId="1" applyNumberFormat="1" applyFont="1" applyFill="1" applyBorder="1" applyAlignment="1">
      <alignment horizontal="center" vertical="center"/>
    </xf>
    <xf numFmtId="166" fontId="35" fillId="2" borderId="5" xfId="2" applyNumberFormat="1" applyFont="1" applyFill="1" applyBorder="1" applyAlignment="1">
      <alignment horizontal="center" vertical="center"/>
    </xf>
    <xf numFmtId="166" fontId="35" fillId="2" borderId="8" xfId="2" applyNumberFormat="1" applyFont="1" applyFill="1" applyBorder="1" applyAlignment="1">
      <alignment horizontal="center" vertical="center"/>
    </xf>
    <xf numFmtId="4" fontId="14" fillId="35" borderId="3" xfId="1" applyNumberFormat="1" applyFont="1" applyFill="1" applyBorder="1" applyAlignment="1">
      <alignment horizontal="right" vertical="center"/>
    </xf>
    <xf numFmtId="4" fontId="14" fillId="35" borderId="3" xfId="2" applyNumberFormat="1" applyFont="1" applyFill="1" applyBorder="1" applyAlignment="1">
      <alignment horizontal="right" vertical="center" wrapText="1"/>
    </xf>
    <xf numFmtId="4" fontId="14" fillId="41" borderId="3" xfId="2" applyNumberFormat="1" applyFont="1" applyFill="1" applyBorder="1" applyAlignment="1">
      <alignment horizontal="center" vertical="center" wrapText="1"/>
    </xf>
    <xf numFmtId="4" fontId="14" fillId="41" borderId="3" xfId="1" applyNumberFormat="1" applyFont="1" applyFill="1" applyBorder="1" applyAlignment="1">
      <alignment horizontal="right" vertical="center"/>
    </xf>
    <xf numFmtId="43" fontId="14" fillId="41" borderId="3" xfId="1" applyNumberFormat="1" applyFont="1" applyFill="1" applyBorder="1" applyAlignment="1">
      <alignment horizontal="center" vertical="center" wrapText="1"/>
    </xf>
    <xf numFmtId="0" fontId="69" fillId="3" borderId="45" xfId="61" applyFont="1" applyFill="1" applyBorder="1" applyAlignment="1">
      <alignment vertical="center"/>
    </xf>
    <xf numFmtId="0" fontId="69" fillId="3" borderId="28" xfId="61" applyFont="1" applyFill="1" applyBorder="1" applyAlignment="1">
      <alignment vertical="center"/>
    </xf>
    <xf numFmtId="164" fontId="10" fillId="2" borderId="47" xfId="59" applyNumberFormat="1" applyFont="1" applyFill="1" applyBorder="1" applyAlignment="1">
      <alignment horizontal="center" vertical="center"/>
    </xf>
    <xf numFmtId="164" fontId="10" fillId="2" borderId="4" xfId="59" applyNumberFormat="1" applyFont="1" applyFill="1" applyBorder="1" applyAlignment="1">
      <alignment horizontal="center" vertical="center"/>
    </xf>
    <xf numFmtId="165" fontId="10" fillId="2" borderId="4" xfId="59" applyNumberFormat="1" applyFont="1" applyFill="1" applyBorder="1" applyAlignment="1">
      <alignment horizontal="center" vertical="center"/>
    </xf>
    <xf numFmtId="164" fontId="10" fillId="2" borderId="7" xfId="59" applyNumberFormat="1" applyFont="1" applyFill="1" applyBorder="1" applyAlignment="1">
      <alignment horizontal="center" vertical="center"/>
    </xf>
    <xf numFmtId="180" fontId="8" fillId="0" borderId="5" xfId="2" applyNumberFormat="1" applyFont="1" applyBorder="1" applyAlignment="1">
      <alignment vertical="center"/>
    </xf>
    <xf numFmtId="180" fontId="12" fillId="0" borderId="6" xfId="2" applyNumberFormat="1" applyFont="1" applyBorder="1" applyAlignment="1">
      <alignment vertical="center"/>
    </xf>
    <xf numFmtId="180" fontId="39" fillId="0" borderId="42" xfId="2" applyNumberFormat="1" applyFont="1" applyBorder="1" applyAlignment="1">
      <alignment vertical="center"/>
    </xf>
    <xf numFmtId="180" fontId="12" fillId="0" borderId="42" xfId="2" applyNumberFormat="1" applyFont="1" applyBorder="1" applyAlignment="1">
      <alignment vertical="center"/>
    </xf>
    <xf numFmtId="180" fontId="12" fillId="0" borderId="44" xfId="2" applyNumberFormat="1" applyFont="1" applyBorder="1" applyAlignment="1">
      <alignment horizontal="right" vertical="center"/>
    </xf>
    <xf numFmtId="165" fontId="12" fillId="0" borderId="0" xfId="1" applyNumberFormat="1" applyFont="1"/>
    <xf numFmtId="165" fontId="8" fillId="0" borderId="0" xfId="2" applyNumberFormat="1"/>
    <xf numFmtId="164" fontId="12" fillId="2" borderId="0" xfId="1" applyNumberFormat="1" applyFont="1" applyFill="1"/>
    <xf numFmtId="165" fontId="8" fillId="0" borderId="0" xfId="1" applyNumberFormat="1" applyFont="1"/>
    <xf numFmtId="0" fontId="8" fillId="0" borderId="75" xfId="2" applyFont="1" applyBorder="1" applyAlignment="1">
      <alignment vertical="center" wrapText="1"/>
    </xf>
    <xf numFmtId="0" fontId="8" fillId="0" borderId="76" xfId="2" applyFont="1" applyBorder="1" applyAlignment="1">
      <alignment vertical="center" wrapText="1"/>
    </xf>
    <xf numFmtId="180" fontId="8" fillId="2" borderId="0" xfId="2" applyNumberFormat="1" applyFill="1"/>
    <xf numFmtId="180" fontId="8" fillId="0" borderId="0" xfId="2" applyNumberFormat="1"/>
    <xf numFmtId="165" fontId="64" fillId="0" borderId="0" xfId="1" applyNumberFormat="1" applyFont="1" applyAlignment="1">
      <alignment vertical="center"/>
    </xf>
    <xf numFmtId="165" fontId="64" fillId="45" borderId="0" xfId="1" applyNumberFormat="1" applyFont="1" applyFill="1"/>
    <xf numFmtId="165" fontId="64" fillId="49" borderId="0" xfId="1" applyNumberFormat="1" applyFont="1" applyFill="1"/>
    <xf numFmtId="165" fontId="8" fillId="2" borderId="0" xfId="1" applyNumberFormat="1" applyFont="1" applyFill="1"/>
    <xf numFmtId="43" fontId="8" fillId="0" borderId="0" xfId="2" applyNumberFormat="1"/>
    <xf numFmtId="180" fontId="12" fillId="0" borderId="0" xfId="2" applyNumberFormat="1" applyFont="1"/>
    <xf numFmtId="43" fontId="62" fillId="0" borderId="0" xfId="2" applyNumberFormat="1" applyFont="1" applyAlignment="1">
      <alignment vertical="center"/>
    </xf>
    <xf numFmtId="165" fontId="147" fillId="3" borderId="0" xfId="40" applyNumberFormat="1" applyFont="1" applyFill="1"/>
    <xf numFmtId="49" fontId="170" fillId="61" borderId="153" xfId="0" applyNumberFormat="1" applyFont="1" applyFill="1" applyBorder="1" applyAlignment="1">
      <alignment horizontal="left" vertical="center" wrapText="1"/>
    </xf>
    <xf numFmtId="164" fontId="170" fillId="61" borderId="153" xfId="0" applyNumberFormat="1" applyFont="1" applyFill="1" applyBorder="1" applyAlignment="1">
      <alignment horizontal="right" wrapText="1"/>
    </xf>
    <xf numFmtId="164" fontId="170" fillId="61" borderId="153" xfId="0" applyNumberFormat="1" applyFont="1" applyFill="1" applyBorder="1" applyAlignment="1">
      <alignment horizontal="center" wrapText="1"/>
    </xf>
    <xf numFmtId="165" fontId="170" fillId="61" borderId="153" xfId="1" applyNumberFormat="1" applyFont="1" applyFill="1" applyBorder="1" applyAlignment="1">
      <alignment horizontal="center" wrapText="1"/>
    </xf>
    <xf numFmtId="165" fontId="69" fillId="3" borderId="151" xfId="1" applyNumberFormat="1" applyFont="1" applyFill="1" applyBorder="1" applyAlignment="1">
      <alignment horizontal="left" wrapText="1"/>
    </xf>
    <xf numFmtId="165" fontId="0" fillId="3" borderId="0" xfId="0" applyNumberFormat="1" applyFill="1"/>
    <xf numFmtId="0" fontId="62" fillId="0" borderId="0" xfId="40" applyFont="1" applyFill="1" applyBorder="1" applyAlignment="1">
      <alignment horizontal="center" vertical="center"/>
    </xf>
    <xf numFmtId="0" fontId="62" fillId="0" borderId="18" xfId="40" applyFont="1" applyFill="1" applyBorder="1" applyAlignment="1">
      <alignment horizontal="center" vertical="center"/>
    </xf>
    <xf numFmtId="0" fontId="39" fillId="0" borderId="3" xfId="62" applyFont="1" applyFill="1" applyBorder="1" applyAlignment="1">
      <alignment horizontal="center" vertical="center" wrapText="1"/>
    </xf>
    <xf numFmtId="0" fontId="171" fillId="0" borderId="3" xfId="62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wrapText="1"/>
    </xf>
    <xf numFmtId="0" fontId="34" fillId="3" borderId="56" xfId="0" applyFont="1" applyFill="1" applyBorder="1" applyAlignment="1">
      <alignment horizontal="center" vertical="center" wrapText="1"/>
    </xf>
    <xf numFmtId="165" fontId="34" fillId="3" borderId="30" xfId="1" applyNumberFormat="1" applyFont="1" applyFill="1" applyBorder="1" applyAlignment="1">
      <alignment vertical="center" wrapText="1"/>
    </xf>
    <xf numFmtId="165" fontId="34" fillId="3" borderId="3" xfId="1" applyNumberFormat="1" applyFont="1" applyFill="1" applyBorder="1" applyAlignment="1">
      <alignment horizontal="right" vertical="center" wrapText="1"/>
    </xf>
    <xf numFmtId="165" fontId="55" fillId="3" borderId="56" xfId="1" applyNumberFormat="1" applyFont="1" applyFill="1" applyBorder="1" applyAlignment="1">
      <alignment horizontal="right" vertical="center"/>
    </xf>
    <xf numFmtId="165" fontId="68" fillId="3" borderId="3" xfId="1" applyNumberFormat="1" applyFont="1" applyFill="1" applyBorder="1" applyAlignment="1">
      <alignment horizontal="right" vertical="center" wrapText="1"/>
    </xf>
    <xf numFmtId="0" fontId="34" fillId="3" borderId="3" xfId="0" applyFont="1" applyFill="1" applyBorder="1" applyAlignment="1">
      <alignment horizontal="center" vertical="center" wrapText="1"/>
    </xf>
    <xf numFmtId="165" fontId="34" fillId="3" borderId="19" xfId="1" applyNumberFormat="1" applyFont="1" applyFill="1" applyBorder="1" applyAlignment="1">
      <alignment vertical="center" wrapText="1"/>
    </xf>
    <xf numFmtId="165" fontId="55" fillId="3" borderId="3" xfId="1" applyNumberFormat="1" applyFont="1" applyFill="1" applyBorder="1" applyAlignment="1">
      <alignment horizontal="right" vertical="center"/>
    </xf>
    <xf numFmtId="181" fontId="55" fillId="3" borderId="3" xfId="1" quotePrefix="1" applyNumberFormat="1" applyFont="1" applyFill="1" applyBorder="1" applyAlignment="1">
      <alignment horizontal="right" vertical="center" wrapText="1"/>
    </xf>
    <xf numFmtId="181" fontId="55" fillId="3" borderId="3" xfId="1" applyNumberFormat="1" applyFont="1" applyFill="1" applyBorder="1" applyAlignment="1">
      <alignment horizontal="right" vertical="center"/>
    </xf>
    <xf numFmtId="181" fontId="55" fillId="3" borderId="3" xfId="1" quotePrefix="1" applyNumberFormat="1" applyFont="1" applyFill="1" applyBorder="1" applyAlignment="1">
      <alignment horizontal="right" vertical="center"/>
    </xf>
    <xf numFmtId="165" fontId="34" fillId="3" borderId="27" xfId="1" applyNumberFormat="1" applyFont="1" applyFill="1" applyBorder="1" applyAlignment="1">
      <alignment vertical="center" wrapText="1"/>
    </xf>
    <xf numFmtId="181" fontId="55" fillId="3" borderId="59" xfId="1" applyNumberFormat="1" applyFont="1" applyFill="1" applyBorder="1" applyAlignment="1">
      <alignment horizontal="right" vertical="center" wrapText="1"/>
    </xf>
    <xf numFmtId="181" fontId="55" fillId="3" borderId="59" xfId="1" quotePrefix="1" applyNumberFormat="1" applyFont="1" applyFill="1" applyBorder="1" applyAlignment="1">
      <alignment horizontal="right" vertical="center" wrapText="1"/>
    </xf>
    <xf numFmtId="181" fontId="55" fillId="3" borderId="3" xfId="1" applyNumberFormat="1" applyFont="1" applyFill="1" applyBorder="1" applyAlignment="1">
      <alignment horizontal="right" vertical="center" wrapText="1"/>
    </xf>
    <xf numFmtId="181" fontId="55" fillId="3" borderId="59" xfId="1" applyNumberFormat="1" applyFont="1" applyFill="1" applyBorder="1" applyAlignment="1">
      <alignment horizontal="right" vertical="center"/>
    </xf>
    <xf numFmtId="0" fontId="68" fillId="3" borderId="19" xfId="0" applyFont="1" applyFill="1" applyBorder="1" applyAlignment="1">
      <alignment horizontal="center" vertical="center" wrapText="1"/>
    </xf>
    <xf numFmtId="165" fontId="34" fillId="3" borderId="30" xfId="1" applyNumberFormat="1" applyFont="1" applyFill="1" applyBorder="1" applyAlignment="1">
      <alignment horizontal="left" vertical="center" wrapText="1"/>
    </xf>
    <xf numFmtId="181" fontId="55" fillId="3" borderId="56" xfId="1" applyNumberFormat="1" applyFont="1" applyFill="1" applyBorder="1" applyAlignment="1">
      <alignment horizontal="right" vertical="center"/>
    </xf>
    <xf numFmtId="181" fontId="55" fillId="3" borderId="56" xfId="1" quotePrefix="1" applyNumberFormat="1" applyFont="1" applyFill="1" applyBorder="1" applyAlignment="1">
      <alignment horizontal="right" vertical="center"/>
    </xf>
    <xf numFmtId="165" fontId="34" fillId="3" borderId="3" xfId="1" applyNumberFormat="1" applyFont="1" applyFill="1" applyBorder="1" applyAlignment="1">
      <alignment vertical="center" wrapText="1"/>
    </xf>
    <xf numFmtId="181" fontId="55" fillId="3" borderId="59" xfId="1" quotePrefix="1" applyNumberFormat="1" applyFont="1" applyFill="1" applyBorder="1" applyAlignment="1">
      <alignment horizontal="right" vertical="center"/>
    </xf>
    <xf numFmtId="165" fontId="68" fillId="3" borderId="19" xfId="1" applyNumberFormat="1" applyFont="1" applyFill="1" applyBorder="1" applyAlignment="1">
      <alignment vertical="center"/>
    </xf>
    <xf numFmtId="165" fontId="68" fillId="3" borderId="20" xfId="1" applyNumberFormat="1" applyFont="1" applyFill="1" applyBorder="1" applyAlignment="1">
      <alignment vertical="center" wrapText="1"/>
    </xf>
    <xf numFmtId="0" fontId="34" fillId="3" borderId="19" xfId="0" applyFont="1" applyFill="1" applyBorder="1" applyAlignment="1">
      <alignment horizontal="center" vertical="center" wrapText="1"/>
    </xf>
    <xf numFmtId="165" fontId="34" fillId="3" borderId="3" xfId="1" applyNumberFormat="1" applyFont="1" applyFill="1" applyBorder="1" applyAlignment="1">
      <alignment horizontal="left" vertical="center" wrapText="1"/>
    </xf>
    <xf numFmtId="181" fontId="34" fillId="3" borderId="3" xfId="0" applyNumberFormat="1" applyFont="1" applyFill="1" applyBorder="1" applyAlignment="1">
      <alignment horizontal="right" vertical="center" wrapText="1"/>
    </xf>
    <xf numFmtId="165" fontId="34" fillId="58" borderId="30" xfId="1" applyNumberFormat="1" applyFont="1" applyFill="1" applyBorder="1" applyAlignment="1">
      <alignment vertical="center" wrapText="1"/>
    </xf>
    <xf numFmtId="181" fontId="55" fillId="58" borderId="3" xfId="1" applyNumberFormat="1" applyFont="1" applyFill="1" applyBorder="1" applyAlignment="1">
      <alignment horizontal="right" vertical="center" wrapText="1"/>
    </xf>
    <xf numFmtId="165" fontId="55" fillId="3" borderId="19" xfId="1" applyNumberFormat="1" applyFont="1" applyFill="1" applyBorder="1" applyAlignment="1">
      <alignment vertical="center" wrapText="1"/>
    </xf>
    <xf numFmtId="165" fontId="34" fillId="3" borderId="19" xfId="1" applyNumberFormat="1" applyFont="1" applyFill="1" applyBorder="1" applyAlignment="1">
      <alignment vertical="center"/>
    </xf>
    <xf numFmtId="0" fontId="124" fillId="3" borderId="3" xfId="40" applyFont="1" applyFill="1" applyBorder="1" applyAlignment="1">
      <alignment horizontal="center" vertical="center"/>
    </xf>
    <xf numFmtId="0" fontId="124" fillId="3" borderId="0" xfId="40" applyFont="1" applyFill="1" applyBorder="1" applyAlignment="1">
      <alignment horizontal="center" vertical="center"/>
    </xf>
    <xf numFmtId="165" fontId="34" fillId="3" borderId="0" xfId="1" applyNumberFormat="1" applyFont="1" applyFill="1" applyBorder="1" applyAlignment="1">
      <alignment vertical="center" wrapText="1"/>
    </xf>
    <xf numFmtId="181" fontId="55" fillId="3" borderId="0" xfId="1" applyNumberFormat="1" applyFont="1" applyFill="1" applyBorder="1" applyAlignment="1">
      <alignment horizontal="right" vertical="center" wrapText="1"/>
    </xf>
    <xf numFmtId="181" fontId="55" fillId="3" borderId="0" xfId="1" applyNumberFormat="1" applyFont="1" applyFill="1" applyBorder="1" applyAlignment="1">
      <alignment horizontal="right" vertical="center"/>
    </xf>
    <xf numFmtId="165" fontId="34" fillId="3" borderId="0" xfId="1" applyNumberFormat="1" applyFont="1" applyFill="1" applyBorder="1" applyAlignment="1">
      <alignment horizontal="right" vertical="center" wrapText="1"/>
    </xf>
    <xf numFmtId="0" fontId="124" fillId="3" borderId="30" xfId="40" applyFont="1" applyFill="1" applyBorder="1" applyAlignment="1">
      <alignment horizontal="center" vertical="center"/>
    </xf>
    <xf numFmtId="165" fontId="124" fillId="3" borderId="30" xfId="1" applyNumberFormat="1" applyFont="1" applyFill="1" applyBorder="1" applyAlignment="1">
      <alignment vertical="center" wrapText="1"/>
    </xf>
    <xf numFmtId="165" fontId="124" fillId="3" borderId="56" xfId="1" applyNumberFormat="1" applyFont="1" applyFill="1" applyBorder="1" applyAlignment="1">
      <alignment horizontal="right" vertical="center"/>
    </xf>
    <xf numFmtId="165" fontId="124" fillId="3" borderId="18" xfId="1" applyNumberFormat="1" applyFont="1" applyFill="1" applyBorder="1" applyAlignment="1">
      <alignment horizontal="right" vertical="center"/>
    </xf>
    <xf numFmtId="0" fontId="12" fillId="3" borderId="3" xfId="54" applyFont="1" applyFill="1" applyBorder="1" applyAlignment="1">
      <alignment horizontal="center" vertical="center"/>
    </xf>
    <xf numFmtId="165" fontId="55" fillId="3" borderId="3" xfId="1" applyNumberFormat="1" applyFont="1" applyFill="1" applyBorder="1" applyAlignment="1">
      <alignment vertical="center" wrapText="1"/>
    </xf>
    <xf numFmtId="0" fontId="124" fillId="3" borderId="19" xfId="40" applyFont="1" applyFill="1" applyBorder="1" applyAlignment="1">
      <alignment horizontal="center" vertical="center"/>
    </xf>
    <xf numFmtId="165" fontId="68" fillId="3" borderId="3" xfId="1" applyNumberFormat="1" applyFont="1" applyFill="1" applyBorder="1" applyAlignment="1">
      <alignment vertical="center" wrapText="1"/>
    </xf>
    <xf numFmtId="165" fontId="12" fillId="3" borderId="3" xfId="1" applyNumberFormat="1" applyFont="1" applyFill="1" applyBorder="1" applyAlignment="1">
      <alignment horizontal="right" vertical="center"/>
    </xf>
    <xf numFmtId="181" fontId="8" fillId="3" borderId="3" xfId="54" applyNumberFormat="1" applyFont="1" applyFill="1" applyBorder="1" applyAlignment="1">
      <alignment horizontal="right" vertical="center"/>
    </xf>
    <xf numFmtId="181" fontId="8" fillId="3" borderId="56" xfId="54" applyNumberFormat="1" applyFont="1" applyFill="1" applyBorder="1" applyAlignment="1">
      <alignment horizontal="right" vertical="center"/>
    </xf>
    <xf numFmtId="181" fontId="8" fillId="3" borderId="59" xfId="54" applyNumberFormat="1" applyFont="1" applyFill="1" applyBorder="1" applyAlignment="1">
      <alignment horizontal="right" vertical="center"/>
    </xf>
    <xf numFmtId="165" fontId="68" fillId="3" borderId="19" xfId="1" applyNumberFormat="1" applyFont="1" applyFill="1" applyBorder="1" applyAlignment="1">
      <alignment vertical="center" wrapText="1"/>
    </xf>
    <xf numFmtId="165" fontId="12" fillId="3" borderId="20" xfId="1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0" fontId="68" fillId="3" borderId="59" xfId="0" applyFont="1" applyFill="1" applyBorder="1" applyAlignment="1">
      <alignment horizontal="center" vertical="center" wrapText="1"/>
    </xf>
    <xf numFmtId="165" fontId="34" fillId="3" borderId="29" xfId="1" applyNumberFormat="1" applyFont="1" applyFill="1" applyBorder="1" applyAlignment="1">
      <alignment vertical="center" wrapText="1"/>
    </xf>
    <xf numFmtId="165" fontId="8" fillId="3" borderId="60" xfId="1" applyNumberFormat="1" applyFont="1" applyFill="1" applyBorder="1" applyAlignment="1">
      <alignment horizontal="right" vertical="center"/>
    </xf>
    <xf numFmtId="0" fontId="68" fillId="3" borderId="3" xfId="0" applyFont="1" applyFill="1" applyBorder="1" applyAlignment="1">
      <alignment horizontal="center" vertical="center" wrapText="1"/>
    </xf>
    <xf numFmtId="165" fontId="12" fillId="3" borderId="19" xfId="1" applyNumberFormat="1" applyFont="1" applyFill="1" applyBorder="1" applyAlignment="1">
      <alignment horizontal="right" vertical="center"/>
    </xf>
    <xf numFmtId="165" fontId="34" fillId="3" borderId="20" xfId="1" applyNumberFormat="1" applyFont="1" applyFill="1" applyBorder="1" applyAlignment="1">
      <alignment vertical="center" wrapText="1"/>
    </xf>
    <xf numFmtId="165" fontId="8" fillId="3" borderId="20" xfId="1" applyNumberFormat="1" applyFont="1" applyFill="1" applyBorder="1" applyAlignment="1">
      <alignment horizontal="right" vertical="center"/>
    </xf>
    <xf numFmtId="165" fontId="55" fillId="3" borderId="21" xfId="1" applyNumberFormat="1" applyFont="1" applyFill="1" applyBorder="1" applyAlignment="1">
      <alignment horizontal="right" vertical="center"/>
    </xf>
    <xf numFmtId="165" fontId="68" fillId="3" borderId="30" xfId="1" applyNumberFormat="1" applyFont="1" applyFill="1" applyBorder="1" applyAlignment="1">
      <alignment vertical="center" wrapText="1"/>
    </xf>
    <xf numFmtId="165" fontId="8" fillId="3" borderId="56" xfId="1" applyNumberFormat="1" applyFont="1" applyFill="1" applyBorder="1" applyAlignment="1">
      <alignment horizontal="right" vertical="center"/>
    </xf>
    <xf numFmtId="0" fontId="124" fillId="3" borderId="19" xfId="40" applyFont="1" applyFill="1" applyBorder="1" applyAlignment="1">
      <alignment vertical="center" wrapText="1"/>
    </xf>
    <xf numFmtId="181" fontId="124" fillId="3" borderId="3" xfId="40" applyNumberFormat="1" applyFont="1" applyFill="1" applyBorder="1" applyAlignment="1">
      <alignment horizontal="right" vertical="center"/>
    </xf>
    <xf numFmtId="181" fontId="124" fillId="3" borderId="3" xfId="62" applyNumberFormat="1" applyFont="1" applyFill="1" applyBorder="1" applyAlignment="1">
      <alignment horizontal="right" vertical="center"/>
    </xf>
    <xf numFmtId="0" fontId="55" fillId="3" borderId="3" xfId="40" applyFont="1" applyFill="1" applyBorder="1" applyAlignment="1">
      <alignment horizontal="center" vertical="center"/>
    </xf>
    <xf numFmtId="181" fontId="0" fillId="0" borderId="0" xfId="0" applyNumberFormat="1"/>
    <xf numFmtId="49" fontId="34" fillId="5" borderId="3" xfId="0" applyNumberFormat="1" applyFont="1" applyFill="1" applyBorder="1" applyAlignment="1">
      <alignment horizontal="left" vertical="center" wrapText="1"/>
    </xf>
    <xf numFmtId="174" fontId="64" fillId="45" borderId="0" xfId="55" applyNumberFormat="1" applyFont="1" applyFill="1"/>
    <xf numFmtId="43" fontId="64" fillId="45" borderId="0" xfId="55" applyNumberFormat="1" applyFont="1" applyFill="1"/>
    <xf numFmtId="43" fontId="8" fillId="0" borderId="0" xfId="2" applyNumberFormat="1" applyFont="1"/>
    <xf numFmtId="165" fontId="8" fillId="0" borderId="0" xfId="2" applyNumberFormat="1" applyFont="1"/>
    <xf numFmtId="43" fontId="63" fillId="0" borderId="0" xfId="2" applyNumberFormat="1" applyFont="1" applyAlignment="1">
      <alignment vertical="center"/>
    </xf>
    <xf numFmtId="0" fontId="80" fillId="0" borderId="0" xfId="2" applyFont="1" applyBorder="1" applyAlignment="1">
      <alignment horizontal="right"/>
    </xf>
    <xf numFmtId="165" fontId="151" fillId="0" borderId="0" xfId="1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165" fontId="80" fillId="0" borderId="0" xfId="1" applyNumberFormat="1" applyFont="1" applyBorder="1" applyAlignment="1">
      <alignment horizontal="right"/>
    </xf>
    <xf numFmtId="49" fontId="12" fillId="5" borderId="8" xfId="2" applyNumberFormat="1" applyFont="1" applyFill="1" applyBorder="1" applyAlignment="1">
      <alignment horizontal="left" vertical="center" wrapText="1"/>
    </xf>
    <xf numFmtId="165" fontId="56" fillId="3" borderId="0" xfId="1" applyNumberFormat="1" applyFont="1" applyFill="1" applyAlignment="1">
      <alignment vertical="center" wrapText="1"/>
    </xf>
    <xf numFmtId="165" fontId="11" fillId="3" borderId="0" xfId="1" applyNumberFormat="1" applyFont="1" applyFill="1" applyAlignment="1">
      <alignment vertical="center" wrapText="1"/>
    </xf>
    <xf numFmtId="165" fontId="20" fillId="0" borderId="0" xfId="1" applyNumberFormat="1" applyFont="1" applyAlignment="1">
      <alignment vertical="center"/>
    </xf>
    <xf numFmtId="43" fontId="64" fillId="45" borderId="0" xfId="0" applyNumberFormat="1" applyFont="1" applyFill="1"/>
    <xf numFmtId="43" fontId="20" fillId="0" borderId="0" xfId="2" applyNumberFormat="1" applyFont="1" applyFill="1" applyBorder="1"/>
    <xf numFmtId="165" fontId="20" fillId="0" borderId="0" xfId="1" applyNumberFormat="1" applyFont="1" applyFill="1" applyBorder="1"/>
    <xf numFmtId="165" fontId="20" fillId="0" borderId="0" xfId="2" applyNumberFormat="1" applyFont="1" applyFill="1" applyBorder="1"/>
    <xf numFmtId="165" fontId="8" fillId="0" borderId="0" xfId="1" applyNumberFormat="1" applyFont="1" applyAlignment="1">
      <alignment vertical="center"/>
    </xf>
    <xf numFmtId="165" fontId="35" fillId="29" borderId="45" xfId="30" applyNumberFormat="1" applyFont="1" applyFill="1" applyBorder="1" applyAlignment="1">
      <alignment vertical="center"/>
    </xf>
    <xf numFmtId="164" fontId="64" fillId="3" borderId="0" xfId="1" applyNumberFormat="1" applyFont="1" applyFill="1"/>
    <xf numFmtId="165" fontId="152" fillId="0" borderId="45" xfId="1" applyNumberFormat="1" applyFont="1" applyBorder="1" applyAlignment="1">
      <alignment horizontal="center" vertical="center"/>
    </xf>
    <xf numFmtId="165" fontId="13" fillId="45" borderId="37" xfId="1" applyNumberFormat="1" applyFont="1" applyFill="1" applyBorder="1" applyAlignment="1">
      <alignment horizontal="right" vertical="center" wrapText="1"/>
    </xf>
    <xf numFmtId="165" fontId="14" fillId="4" borderId="6" xfId="1" applyNumberFormat="1" applyFont="1" applyFill="1" applyBorder="1" applyAlignment="1">
      <alignment horizontal="right" vertical="center" wrapText="1"/>
    </xf>
    <xf numFmtId="165" fontId="173" fillId="49" borderId="6" xfId="1" applyNumberFormat="1" applyFont="1" applyFill="1" applyBorder="1" applyAlignment="1">
      <alignment horizontal="left" vertical="center" wrapText="1"/>
    </xf>
    <xf numFmtId="165" fontId="62" fillId="0" borderId="6" xfId="1" applyNumberFormat="1" applyFont="1" applyBorder="1" applyAlignment="1">
      <alignment vertical="center" wrapText="1"/>
    </xf>
    <xf numFmtId="43" fontId="13" fillId="49" borderId="6" xfId="30" applyFont="1" applyFill="1" applyBorder="1" applyAlignment="1">
      <alignment horizontal="left" vertical="center" wrapText="1"/>
    </xf>
    <xf numFmtId="165" fontId="62" fillId="0" borderId="6" xfId="1" applyNumberFormat="1" applyFont="1" applyBorder="1" applyAlignment="1">
      <alignment horizontal="right" vertical="center" wrapText="1"/>
    </xf>
    <xf numFmtId="164" fontId="62" fillId="0" borderId="6" xfId="30" applyNumberFormat="1" applyFont="1" applyBorder="1" applyAlignment="1">
      <alignment horizontal="right" vertical="center" wrapText="1"/>
    </xf>
    <xf numFmtId="165" fontId="174" fillId="45" borderId="6" xfId="1" applyNumberFormat="1" applyFont="1" applyFill="1" applyBorder="1" applyAlignment="1">
      <alignment horizontal="right" wrapText="1"/>
    </xf>
    <xf numFmtId="165" fontId="62" fillId="0" borderId="5" xfId="1" applyNumberFormat="1" applyFont="1" applyBorder="1" applyAlignment="1">
      <alignment horizontal="right" wrapText="1"/>
    </xf>
    <xf numFmtId="165" fontId="62" fillId="0" borderId="6" xfId="1" applyNumberFormat="1" applyFont="1" applyBorder="1" applyAlignment="1">
      <alignment horizontal="right" wrapText="1"/>
    </xf>
    <xf numFmtId="43" fontId="173" fillId="49" borderId="6" xfId="30" applyFont="1" applyFill="1" applyBorder="1" applyAlignment="1">
      <alignment horizontal="left" vertical="center" wrapText="1"/>
    </xf>
    <xf numFmtId="165" fontId="42" fillId="4" borderId="33" xfId="1" applyNumberFormat="1" applyFont="1" applyFill="1" applyBorder="1" applyAlignment="1">
      <alignment horizontal="right" vertical="center" wrapText="1"/>
    </xf>
    <xf numFmtId="165" fontId="175" fillId="29" borderId="36" xfId="1" applyNumberFormat="1" applyFont="1" applyFill="1" applyBorder="1" applyAlignment="1">
      <alignment horizontal="right" wrapText="1"/>
    </xf>
    <xf numFmtId="165" fontId="62" fillId="0" borderId="37" xfId="1" applyNumberFormat="1" applyFont="1" applyFill="1" applyBorder="1" applyAlignment="1">
      <alignment horizontal="right" wrapText="1"/>
    </xf>
    <xf numFmtId="165" fontId="62" fillId="0" borderId="6" xfId="1" applyNumberFormat="1" applyFont="1" applyFill="1" applyBorder="1" applyAlignment="1">
      <alignment horizontal="right" wrapText="1"/>
    </xf>
    <xf numFmtId="165" fontId="62" fillId="0" borderId="53" xfId="1" applyNumberFormat="1" applyFont="1" applyFill="1" applyBorder="1" applyAlignment="1">
      <alignment horizontal="right" wrapText="1"/>
    </xf>
    <xf numFmtId="165" fontId="62" fillId="0" borderId="8" xfId="1" applyNumberFormat="1" applyFont="1" applyFill="1" applyBorder="1" applyAlignment="1">
      <alignment horizontal="right" wrapText="1"/>
    </xf>
    <xf numFmtId="165" fontId="62" fillId="4" borderId="3" xfId="1" applyNumberFormat="1" applyFont="1" applyFill="1" applyBorder="1" applyAlignment="1">
      <alignment horizontal="right" vertical="center" wrapText="1"/>
    </xf>
    <xf numFmtId="165" fontId="176" fillId="5" borderId="3" xfId="1" applyNumberFormat="1" applyFont="1" applyFill="1" applyBorder="1" applyAlignment="1">
      <alignment horizontal="center" vertical="center" wrapText="1"/>
    </xf>
    <xf numFmtId="165" fontId="33" fillId="5" borderId="3" xfId="1" applyNumberFormat="1" applyFont="1" applyFill="1" applyBorder="1" applyAlignment="1">
      <alignment horizontal="center" vertical="center" wrapText="1"/>
    </xf>
    <xf numFmtId="165" fontId="62" fillId="0" borderId="40" xfId="1" applyNumberFormat="1" applyFont="1" applyBorder="1" applyAlignment="1">
      <alignment horizontal="right" vertical="center" wrapText="1"/>
    </xf>
    <xf numFmtId="165" fontId="146" fillId="3" borderId="6" xfId="1" applyNumberFormat="1" applyFont="1" applyFill="1" applyBorder="1" applyAlignment="1">
      <alignment horizontal="right" wrapText="1"/>
    </xf>
    <xf numFmtId="0" fontId="152" fillId="3" borderId="110" xfId="48" applyFont="1" applyFill="1" applyBorder="1" applyAlignment="1">
      <alignment horizontal="center" vertical="center" wrapText="1"/>
    </xf>
    <xf numFmtId="49" fontId="60" fillId="5" borderId="25" xfId="2" applyNumberFormat="1" applyFont="1" applyFill="1" applyBorder="1" applyAlignment="1">
      <alignment wrapText="1"/>
    </xf>
    <xf numFmtId="0" fontId="113" fillId="0" borderId="0" xfId="50" applyFont="1" applyAlignment="1">
      <alignment horizontal="left" vertical="center" wrapText="1" indent="13"/>
    </xf>
    <xf numFmtId="0" fontId="113" fillId="0" borderId="0" xfId="50" applyFont="1" applyAlignment="1">
      <alignment horizontal="left" vertical="center" indent="13"/>
    </xf>
    <xf numFmtId="0" fontId="95" fillId="3" borderId="19" xfId="50" applyFont="1" applyFill="1" applyBorder="1" applyAlignment="1">
      <alignment horizontal="center" vertical="center"/>
    </xf>
    <xf numFmtId="0" fontId="95" fillId="3" borderId="20" xfId="50" applyFont="1" applyFill="1" applyBorder="1" applyAlignment="1">
      <alignment horizontal="center" vertical="center"/>
    </xf>
    <xf numFmtId="0" fontId="95" fillId="3" borderId="21" xfId="50" applyFont="1" applyFill="1" applyBorder="1" applyAlignment="1">
      <alignment horizontal="center" vertical="center"/>
    </xf>
    <xf numFmtId="0" fontId="95" fillId="3" borderId="19" xfId="50" applyFont="1" applyFill="1" applyBorder="1" applyAlignment="1">
      <alignment horizontal="left" vertical="center"/>
    </xf>
    <xf numFmtId="0" fontId="95" fillId="3" borderId="20" xfId="50" applyFont="1" applyFill="1" applyBorder="1" applyAlignment="1">
      <alignment horizontal="left" vertical="center"/>
    </xf>
    <xf numFmtId="0" fontId="95" fillId="3" borderId="21" xfId="50" applyFont="1" applyFill="1" applyBorder="1" applyAlignment="1">
      <alignment horizontal="left" vertical="center"/>
    </xf>
    <xf numFmtId="0" fontId="114" fillId="0" borderId="22" xfId="50" applyFont="1" applyBorder="1" applyAlignment="1">
      <alignment horizontal="center" vertical="center"/>
    </xf>
    <xf numFmtId="0" fontId="114" fillId="0" borderId="23" xfId="50" applyFont="1" applyBorder="1" applyAlignment="1">
      <alignment horizontal="center" vertical="center"/>
    </xf>
    <xf numFmtId="0" fontId="114" fillId="0" borderId="24" xfId="50" applyFont="1" applyBorder="1" applyAlignment="1">
      <alignment horizontal="center" vertical="center"/>
    </xf>
    <xf numFmtId="0" fontId="95" fillId="0" borderId="25" xfId="50" applyFont="1" applyBorder="1" applyAlignment="1">
      <alignment horizontal="left" vertical="center"/>
    </xf>
    <xf numFmtId="0" fontId="95" fillId="0" borderId="26" xfId="50" applyFont="1" applyBorder="1" applyAlignment="1">
      <alignment horizontal="left" vertical="center"/>
    </xf>
    <xf numFmtId="0" fontId="95" fillId="0" borderId="108" xfId="50" applyFont="1" applyBorder="1" applyAlignment="1">
      <alignment horizontal="left" vertical="center"/>
    </xf>
    <xf numFmtId="0" fontId="114" fillId="0" borderId="25" xfId="50" applyFont="1" applyBorder="1" applyAlignment="1">
      <alignment horizontal="center" vertical="center"/>
    </xf>
    <xf numFmtId="0" fontId="114" fillId="0" borderId="26" xfId="50" applyFont="1" applyBorder="1" applyAlignment="1">
      <alignment horizontal="center" vertical="center"/>
    </xf>
    <xf numFmtId="0" fontId="114" fillId="0" borderId="108" xfId="50" applyFont="1" applyBorder="1" applyAlignment="1">
      <alignment horizontal="center" vertical="center"/>
    </xf>
    <xf numFmtId="49" fontId="14" fillId="49" borderId="25" xfId="2" applyNumberFormat="1" applyFont="1" applyFill="1" applyBorder="1" applyAlignment="1">
      <alignment horizontal="left" vertical="center" wrapText="1"/>
    </xf>
    <xf numFmtId="49" fontId="14" fillId="49" borderId="26" xfId="2" applyNumberFormat="1" applyFont="1" applyFill="1" applyBorder="1" applyAlignment="1">
      <alignment horizontal="left" vertical="center" wrapText="1"/>
    </xf>
    <xf numFmtId="49" fontId="14" fillId="39" borderId="29" xfId="2" applyNumberFormat="1" applyFont="1" applyFill="1" applyBorder="1" applyAlignment="1">
      <alignment horizontal="center" vertical="center" wrapText="1"/>
    </xf>
    <xf numFmtId="49" fontId="14" fillId="39" borderId="0" xfId="2" applyNumberFormat="1" applyFont="1" applyFill="1" applyBorder="1" applyAlignment="1">
      <alignment horizontal="center" vertical="center" wrapText="1"/>
    </xf>
    <xf numFmtId="49" fontId="14" fillId="39" borderId="110" xfId="2" applyNumberFormat="1" applyFont="1" applyFill="1" applyBorder="1" applyAlignment="1">
      <alignment horizontal="center" vertical="center" wrapText="1"/>
    </xf>
    <xf numFmtId="49" fontId="59" fillId="0" borderId="25" xfId="2" applyNumberFormat="1" applyFont="1" applyFill="1" applyBorder="1" applyAlignment="1">
      <alignment horizontal="center" vertical="center" wrapText="1"/>
    </xf>
    <xf numFmtId="49" fontId="59" fillId="0" borderId="26" xfId="2" applyNumberFormat="1" applyFont="1" applyFill="1" applyBorder="1" applyAlignment="1">
      <alignment horizontal="center" vertical="center" wrapText="1"/>
    </xf>
    <xf numFmtId="49" fontId="59" fillId="0" borderId="108" xfId="2" applyNumberFormat="1" applyFont="1" applyFill="1" applyBorder="1" applyAlignment="1">
      <alignment horizontal="center" vertical="center" wrapText="1"/>
    </xf>
    <xf numFmtId="49" fontId="61" fillId="49" borderId="22" xfId="2" applyNumberFormat="1" applyFont="1" applyFill="1" applyBorder="1" applyAlignment="1">
      <alignment horizontal="left" vertical="center" wrapText="1"/>
    </xf>
    <xf numFmtId="49" fontId="61" fillId="49" borderId="26" xfId="2" applyNumberFormat="1" applyFont="1" applyFill="1" applyBorder="1" applyAlignment="1">
      <alignment horizontal="left" vertical="center" wrapText="1"/>
    </xf>
    <xf numFmtId="49" fontId="57" fillId="5" borderId="19" xfId="2" applyNumberFormat="1" applyFont="1" applyFill="1" applyBorder="1" applyAlignment="1">
      <alignment horizontal="center" vertical="center" wrapText="1"/>
    </xf>
    <xf numFmtId="49" fontId="57" fillId="5" borderId="20" xfId="2" applyNumberFormat="1" applyFont="1" applyFill="1" applyBorder="1" applyAlignment="1">
      <alignment horizontal="center" vertical="center" wrapText="1"/>
    </xf>
    <xf numFmtId="49" fontId="57" fillId="5" borderId="21" xfId="2" applyNumberFormat="1" applyFont="1" applyFill="1" applyBorder="1" applyAlignment="1">
      <alignment horizontal="center" vertical="center" wrapText="1"/>
    </xf>
    <xf numFmtId="49" fontId="57" fillId="0" borderId="27" xfId="2" applyNumberFormat="1" applyFont="1" applyFill="1" applyBorder="1" applyAlignment="1">
      <alignment horizontal="center" vertical="center" wrapText="1"/>
    </xf>
    <xf numFmtId="49" fontId="57" fillId="0" borderId="45" xfId="2" applyNumberFormat="1" applyFont="1" applyFill="1" applyBorder="1" applyAlignment="1">
      <alignment horizontal="center" vertical="center" wrapText="1"/>
    </xf>
    <xf numFmtId="49" fontId="57" fillId="0" borderId="28" xfId="2" applyNumberFormat="1" applyFont="1" applyFill="1" applyBorder="1" applyAlignment="1">
      <alignment horizontal="center" vertical="center" wrapText="1"/>
    </xf>
    <xf numFmtId="49" fontId="59" fillId="0" borderId="34" xfId="2" applyNumberFormat="1" applyFont="1" applyFill="1" applyBorder="1" applyAlignment="1">
      <alignment horizontal="left" vertical="center" wrapText="1"/>
    </xf>
    <xf numFmtId="49" fontId="59" fillId="0" borderId="35" xfId="2" applyNumberFormat="1" applyFont="1" applyFill="1" applyBorder="1" applyAlignment="1">
      <alignment horizontal="left" vertical="center" wrapText="1"/>
    </xf>
    <xf numFmtId="0" fontId="111" fillId="2" borderId="0" xfId="2" applyFont="1" applyFill="1" applyAlignment="1">
      <alignment horizontal="center" vertical="center" wrapText="1"/>
    </xf>
    <xf numFmtId="0" fontId="67" fillId="45" borderId="3" xfId="2" applyFont="1" applyFill="1" applyBorder="1" applyAlignment="1">
      <alignment horizontal="left" vertical="center" wrapText="1"/>
    </xf>
    <xf numFmtId="0" fontId="14" fillId="45" borderId="3" xfId="2" applyFont="1" applyFill="1" applyBorder="1" applyAlignment="1">
      <alignment horizontal="center" vertical="center" wrapText="1"/>
    </xf>
    <xf numFmtId="49" fontId="14" fillId="30" borderId="31" xfId="2" applyNumberFormat="1" applyFont="1" applyFill="1" applyBorder="1" applyAlignment="1">
      <alignment horizontal="left" vertical="center" wrapText="1"/>
    </xf>
    <xf numFmtId="49" fontId="14" fillId="30" borderId="32" xfId="2" applyNumberFormat="1" applyFont="1" applyFill="1" applyBorder="1" applyAlignment="1">
      <alignment horizontal="left" vertical="center" wrapText="1"/>
    </xf>
    <xf numFmtId="0" fontId="11" fillId="2" borderId="18" xfId="2" applyFont="1" applyFill="1" applyBorder="1" applyAlignment="1">
      <alignment horizontal="left"/>
    </xf>
    <xf numFmtId="0" fontId="178" fillId="0" borderId="18" xfId="0" applyFont="1" applyBorder="1"/>
    <xf numFmtId="49" fontId="14" fillId="4" borderId="3" xfId="2" applyNumberFormat="1" applyFont="1" applyFill="1" applyBorder="1" applyAlignment="1">
      <alignment vertical="center" wrapText="1"/>
    </xf>
    <xf numFmtId="49" fontId="14" fillId="45" borderId="27" xfId="2" applyNumberFormat="1" applyFont="1" applyFill="1" applyBorder="1" applyAlignment="1">
      <alignment vertical="center" wrapText="1"/>
    </xf>
    <xf numFmtId="49" fontId="14" fillId="45" borderId="35" xfId="2" applyNumberFormat="1" applyFont="1" applyFill="1" applyBorder="1" applyAlignment="1">
      <alignment vertical="center" wrapText="1"/>
    </xf>
    <xf numFmtId="49" fontId="67" fillId="30" borderId="3" xfId="2" applyNumberFormat="1" applyFont="1" applyFill="1" applyBorder="1" applyAlignment="1">
      <alignment horizontal="left" vertical="center" wrapText="1"/>
    </xf>
    <xf numFmtId="49" fontId="11" fillId="4" borderId="25" xfId="2" applyNumberFormat="1" applyFont="1" applyFill="1" applyBorder="1" applyAlignment="1">
      <alignment vertical="center" wrapText="1"/>
    </xf>
    <xf numFmtId="49" fontId="11" fillId="4" borderId="26" xfId="2" applyNumberFormat="1" applyFont="1" applyFill="1" applyBorder="1" applyAlignment="1">
      <alignment vertical="center" wrapText="1"/>
    </xf>
    <xf numFmtId="49" fontId="11" fillId="49" borderId="25" xfId="2" applyNumberFormat="1" applyFont="1" applyFill="1" applyBorder="1" applyAlignment="1">
      <alignment horizontal="left" vertical="center" wrapText="1"/>
    </xf>
    <xf numFmtId="49" fontId="11" fillId="49" borderId="26" xfId="2" applyNumberFormat="1" applyFont="1" applyFill="1" applyBorder="1" applyAlignment="1">
      <alignment horizontal="left" vertical="center" wrapText="1"/>
    </xf>
    <xf numFmtId="0" fontId="11" fillId="2" borderId="0" xfId="2" applyFont="1" applyFill="1" applyAlignment="1">
      <alignment horizontal="center" vertical="center" wrapText="1"/>
    </xf>
    <xf numFmtId="165" fontId="57" fillId="30" borderId="3" xfId="1" applyNumberFormat="1" applyFont="1" applyFill="1" applyBorder="1" applyAlignment="1">
      <alignment horizontal="left" vertical="center" wrapText="1"/>
    </xf>
    <xf numFmtId="49" fontId="59" fillId="0" borderId="73" xfId="2" applyNumberFormat="1" applyFont="1" applyFill="1" applyBorder="1" applyAlignment="1">
      <alignment horizontal="center" vertical="center" wrapText="1"/>
    </xf>
    <xf numFmtId="49" fontId="59" fillId="0" borderId="58" xfId="2" applyNumberFormat="1" applyFont="1" applyFill="1" applyBorder="1" applyAlignment="1">
      <alignment horizontal="center" vertical="center" wrapText="1"/>
    </xf>
    <xf numFmtId="49" fontId="59" fillId="0" borderId="109" xfId="2" applyNumberFormat="1" applyFont="1" applyFill="1" applyBorder="1" applyAlignment="1">
      <alignment horizontal="center" vertical="center" wrapText="1"/>
    </xf>
    <xf numFmtId="49" fontId="57" fillId="39" borderId="29" xfId="2" applyNumberFormat="1" applyFont="1" applyFill="1" applyBorder="1" applyAlignment="1">
      <alignment horizontal="center" vertical="center" wrapText="1"/>
    </xf>
    <xf numFmtId="49" fontId="57" fillId="39" borderId="0" xfId="2" applyNumberFormat="1" applyFont="1" applyFill="1" applyBorder="1" applyAlignment="1">
      <alignment horizontal="center" vertical="center" wrapText="1"/>
    </xf>
    <xf numFmtId="49" fontId="57" fillId="39" borderId="110" xfId="2" applyNumberFormat="1" applyFont="1" applyFill="1" applyBorder="1" applyAlignment="1">
      <alignment horizontal="center" vertical="center" wrapText="1"/>
    </xf>
    <xf numFmtId="49" fontId="61" fillId="49" borderId="29" xfId="2" applyNumberFormat="1" applyFont="1" applyFill="1" applyBorder="1" applyAlignment="1">
      <alignment horizontal="left" vertical="center" wrapText="1"/>
    </xf>
    <xf numFmtId="49" fontId="57" fillId="30" borderId="3" xfId="2" applyNumberFormat="1" applyFont="1" applyFill="1" applyBorder="1" applyAlignment="1">
      <alignment horizontal="left" vertical="center" wrapText="1"/>
    </xf>
    <xf numFmtId="49" fontId="11" fillId="28" borderId="34" xfId="2" applyNumberFormat="1" applyFont="1" applyFill="1" applyBorder="1" applyAlignment="1">
      <alignment horizontal="left" vertical="center" wrapText="1"/>
    </xf>
    <xf numFmtId="49" fontId="11" fillId="28" borderId="35" xfId="2" applyNumberFormat="1" applyFont="1" applyFill="1" applyBorder="1" applyAlignment="1">
      <alignment horizontal="left" vertical="center" wrapText="1"/>
    </xf>
    <xf numFmtId="0" fontId="14" fillId="29" borderId="45" xfId="2" applyFont="1" applyFill="1" applyBorder="1" applyAlignment="1">
      <alignment horizontal="left" vertical="center"/>
    </xf>
    <xf numFmtId="165" fontId="57" fillId="5" borderId="19" xfId="1" applyNumberFormat="1" applyFont="1" applyFill="1" applyBorder="1" applyAlignment="1">
      <alignment horizontal="left" vertical="center" wrapText="1"/>
    </xf>
    <xf numFmtId="165" fontId="57" fillId="5" borderId="20" xfId="1" applyNumberFormat="1" applyFont="1" applyFill="1" applyBorder="1" applyAlignment="1">
      <alignment horizontal="left" vertical="center" wrapText="1"/>
    </xf>
    <xf numFmtId="165" fontId="57" fillId="5" borderId="21" xfId="1" applyNumberFormat="1" applyFont="1" applyFill="1" applyBorder="1" applyAlignment="1">
      <alignment horizontal="left" vertical="center" wrapText="1"/>
    </xf>
    <xf numFmtId="0" fontId="177" fillId="2" borderId="0" xfId="2" applyFont="1" applyFill="1" applyAlignment="1">
      <alignment horizontal="center" vertical="center" wrapText="1"/>
    </xf>
    <xf numFmtId="0" fontId="14" fillId="29" borderId="20" xfId="2" applyFont="1" applyFill="1" applyBorder="1" applyAlignment="1">
      <alignment horizontal="left" vertical="center"/>
    </xf>
    <xf numFmtId="0" fontId="14" fillId="29" borderId="45" xfId="2" applyFont="1" applyFill="1" applyBorder="1" applyAlignment="1">
      <alignment horizontal="right" vertical="center"/>
    </xf>
    <xf numFmtId="0" fontId="89" fillId="0" borderId="0" xfId="0" applyFont="1" applyAlignment="1">
      <alignment horizontal="center"/>
    </xf>
    <xf numFmtId="0" fontId="87" fillId="0" borderId="20" xfId="0" applyFont="1" applyBorder="1" applyAlignment="1">
      <alignment horizontal="center"/>
    </xf>
    <xf numFmtId="0" fontId="80" fillId="2" borderId="0" xfId="2" applyFont="1" applyFill="1" applyBorder="1" applyAlignment="1">
      <alignment horizontal="left"/>
    </xf>
    <xf numFmtId="0" fontId="87" fillId="0" borderId="45" xfId="0" applyFont="1" applyBorder="1" applyAlignment="1">
      <alignment horizontal="center"/>
    </xf>
    <xf numFmtId="0" fontId="131" fillId="51" borderId="3" xfId="0" applyFont="1" applyFill="1" applyBorder="1" applyAlignment="1">
      <alignment horizontal="center"/>
    </xf>
    <xf numFmtId="0" fontId="88" fillId="51" borderId="3" xfId="0" applyFont="1" applyFill="1" applyBorder="1" applyAlignment="1">
      <alignment horizontal="center"/>
    </xf>
    <xf numFmtId="0" fontId="116" fillId="0" borderId="0" xfId="52" applyFont="1" applyAlignment="1">
      <alignment horizontal="right" vertical="top"/>
    </xf>
    <xf numFmtId="0" fontId="116" fillId="0" borderId="45" xfId="52" applyFont="1" applyBorder="1" applyAlignment="1">
      <alignment horizontal="left" vertical="center" wrapText="1"/>
    </xf>
    <xf numFmtId="0" fontId="116" fillId="52" borderId="19" xfId="52" applyFont="1" applyFill="1" applyBorder="1" applyAlignment="1">
      <alignment horizontal="center"/>
    </xf>
    <xf numFmtId="0" fontId="116" fillId="52" borderId="21" xfId="52" applyFont="1" applyFill="1" applyBorder="1" applyAlignment="1">
      <alignment horizontal="center"/>
    </xf>
    <xf numFmtId="0" fontId="116" fillId="52" borderId="125" xfId="52" applyFont="1" applyFill="1" applyBorder="1" applyAlignment="1">
      <alignment horizontal="center"/>
    </xf>
    <xf numFmtId="0" fontId="116" fillId="52" borderId="126" xfId="52" applyFont="1" applyFill="1" applyBorder="1" applyAlignment="1">
      <alignment horizontal="center"/>
    </xf>
    <xf numFmtId="0" fontId="116" fillId="51" borderId="3" xfId="52" applyFont="1" applyFill="1" applyBorder="1" applyAlignment="1">
      <alignment horizontal="center" vertical="center" textRotation="90" wrapText="1"/>
    </xf>
    <xf numFmtId="0" fontId="116" fillId="51" borderId="3" xfId="52" applyFont="1" applyFill="1" applyBorder="1" applyAlignment="1">
      <alignment horizontal="center"/>
    </xf>
    <xf numFmtId="0" fontId="116" fillId="0" borderId="20" xfId="52" applyFont="1" applyBorder="1" applyAlignment="1">
      <alignment horizontal="left"/>
    </xf>
    <xf numFmtId="0" fontId="116" fillId="45" borderId="3" xfId="52" applyFont="1" applyFill="1" applyBorder="1" applyAlignment="1">
      <alignment horizontal="center" vertical="center"/>
    </xf>
    <xf numFmtId="0" fontId="116" fillId="0" borderId="0" xfId="52" applyFont="1" applyAlignment="1">
      <alignment horizontal="left"/>
    </xf>
    <xf numFmtId="0" fontId="116" fillId="52" borderId="3" xfId="52" applyFont="1" applyFill="1" applyBorder="1" applyAlignment="1">
      <alignment horizontal="center" vertical="center" textRotation="90" wrapText="1"/>
    </xf>
    <xf numFmtId="0" fontId="116" fillId="52" borderId="59" xfId="52" applyFont="1" applyFill="1" applyBorder="1" applyAlignment="1">
      <alignment horizontal="center" vertical="center" textRotation="90" wrapText="1"/>
    </xf>
    <xf numFmtId="0" fontId="116" fillId="52" borderId="124" xfId="52" applyFont="1" applyFill="1" applyBorder="1" applyAlignment="1">
      <alignment horizontal="center" vertical="center" textRotation="90" wrapText="1"/>
    </xf>
    <xf numFmtId="0" fontId="116" fillId="52" borderId="19" xfId="52" applyFont="1" applyFill="1" applyBorder="1" applyAlignment="1">
      <alignment horizontal="center" vertical="top" wrapText="1"/>
    </xf>
    <xf numFmtId="0" fontId="116" fillId="52" borderId="21" xfId="52" applyFont="1" applyFill="1" applyBorder="1" applyAlignment="1">
      <alignment horizontal="center" vertical="top" wrapText="1"/>
    </xf>
    <xf numFmtId="0" fontId="116" fillId="52" borderId="20" xfId="52" applyFont="1" applyFill="1" applyBorder="1" applyAlignment="1">
      <alignment horizontal="center" vertical="top" wrapText="1"/>
    </xf>
    <xf numFmtId="0" fontId="116" fillId="52" borderId="3" xfId="52" applyFont="1" applyFill="1" applyBorder="1" applyAlignment="1">
      <alignment horizontal="center"/>
    </xf>
    <xf numFmtId="0" fontId="116" fillId="0" borderId="0" xfId="52" applyFont="1" applyAlignment="1">
      <alignment horizontal="center"/>
    </xf>
    <xf numFmtId="0" fontId="116" fillId="60" borderId="59" xfId="52" applyFont="1" applyFill="1" applyBorder="1" applyAlignment="1">
      <alignment horizontal="center" vertical="center" textRotation="90" wrapText="1"/>
    </xf>
    <xf numFmtId="0" fontId="116" fillId="60" borderId="60" xfId="52" applyFont="1" applyFill="1" applyBorder="1" applyAlignment="1">
      <alignment horizontal="center" vertical="center" textRotation="90" wrapText="1"/>
    </xf>
    <xf numFmtId="0" fontId="116" fillId="60" borderId="56" xfId="52" applyFont="1" applyFill="1" applyBorder="1" applyAlignment="1">
      <alignment horizontal="center" vertical="center" textRotation="90" wrapText="1"/>
    </xf>
    <xf numFmtId="0" fontId="116" fillId="60" borderId="19" xfId="52" applyFont="1" applyFill="1" applyBorder="1" applyAlignment="1">
      <alignment horizontal="center"/>
    </xf>
    <xf numFmtId="0" fontId="116" fillId="60" borderId="21" xfId="52" applyFont="1" applyFill="1" applyBorder="1" applyAlignment="1">
      <alignment horizontal="center"/>
    </xf>
    <xf numFmtId="0" fontId="118" fillId="50" borderId="3" xfId="52" applyFont="1" applyFill="1" applyBorder="1" applyAlignment="1">
      <alignment horizontal="center" vertical="center" wrapText="1"/>
    </xf>
    <xf numFmtId="0" fontId="116" fillId="0" borderId="29" xfId="52" applyFont="1" applyBorder="1" applyAlignment="1">
      <alignment horizontal="left"/>
    </xf>
    <xf numFmtId="0" fontId="116" fillId="51" borderId="124" xfId="52" applyFont="1" applyFill="1" applyBorder="1" applyAlignment="1">
      <alignment horizontal="center" vertical="center" textRotation="90" wrapText="1"/>
    </xf>
    <xf numFmtId="0" fontId="116" fillId="51" borderId="3" xfId="52" applyFont="1" applyFill="1" applyBorder="1" applyAlignment="1">
      <alignment horizontal="center" wrapText="1"/>
    </xf>
    <xf numFmtId="0" fontId="116" fillId="51" borderId="125" xfId="52" applyFont="1" applyFill="1" applyBorder="1" applyAlignment="1">
      <alignment horizontal="center"/>
    </xf>
    <xf numFmtId="0" fontId="116" fillId="51" borderId="126" xfId="52" applyFont="1" applyFill="1" applyBorder="1" applyAlignment="1">
      <alignment horizontal="center"/>
    </xf>
    <xf numFmtId="0" fontId="118" fillId="50" borderId="59" xfId="52" applyFont="1" applyFill="1" applyBorder="1" applyAlignment="1">
      <alignment horizontal="center" vertical="center"/>
    </xf>
    <xf numFmtId="0" fontId="118" fillId="50" borderId="56" xfId="52" applyFont="1" applyFill="1" applyBorder="1" applyAlignment="1">
      <alignment horizontal="center" vertical="center"/>
    </xf>
    <xf numFmtId="0" fontId="118" fillId="50" borderId="3" xfId="52" applyFont="1" applyFill="1" applyBorder="1" applyAlignment="1">
      <alignment horizontal="center" vertical="center"/>
    </xf>
    <xf numFmtId="0" fontId="118" fillId="50" borderId="59" xfId="52" applyFont="1" applyFill="1" applyBorder="1" applyAlignment="1">
      <alignment horizontal="center" vertical="center" wrapText="1"/>
    </xf>
    <xf numFmtId="0" fontId="118" fillId="50" borderId="56" xfId="52" applyFont="1" applyFill="1" applyBorder="1" applyAlignment="1">
      <alignment horizontal="center" vertical="center" wrapText="1"/>
    </xf>
    <xf numFmtId="0" fontId="133" fillId="50" borderId="3" xfId="52" applyFont="1" applyFill="1" applyBorder="1" applyAlignment="1">
      <alignment horizontal="center" vertical="center" wrapText="1"/>
    </xf>
    <xf numFmtId="0" fontId="119" fillId="0" borderId="0" xfId="52" applyFont="1" applyAlignment="1">
      <alignment horizontal="left" vertical="center" wrapText="1" indent="4"/>
    </xf>
    <xf numFmtId="0" fontId="119" fillId="3" borderId="0" xfId="52" applyFont="1" applyFill="1" applyAlignment="1">
      <alignment horizontal="right"/>
    </xf>
    <xf numFmtId="0" fontId="119" fillId="3" borderId="123" xfId="52" applyFont="1" applyFill="1" applyBorder="1" applyAlignment="1">
      <alignment horizontal="right"/>
    </xf>
    <xf numFmtId="0" fontId="77" fillId="0" borderId="128" xfId="2" applyFont="1" applyBorder="1" applyAlignment="1">
      <alignment horizontal="right"/>
    </xf>
    <xf numFmtId="0" fontId="77" fillId="0" borderId="129" xfId="2" applyFont="1" applyBorder="1" applyAlignment="1">
      <alignment horizontal="right"/>
    </xf>
    <xf numFmtId="0" fontId="134" fillId="0" borderId="0" xfId="0" applyFont="1" applyAlignment="1">
      <alignment horizontal="center" vertical="top" wrapText="1"/>
    </xf>
    <xf numFmtId="0" fontId="134" fillId="0" borderId="0" xfId="0" applyFont="1" applyAlignment="1">
      <alignment horizontal="center" vertical="top"/>
    </xf>
    <xf numFmtId="0" fontId="120" fillId="2" borderId="0" xfId="2" applyFont="1" applyFill="1" applyAlignment="1">
      <alignment horizontal="left" vertical="center"/>
    </xf>
    <xf numFmtId="0" fontId="121" fillId="0" borderId="0" xfId="52" applyFont="1" applyAlignment="1">
      <alignment horizontal="left" indent="4"/>
    </xf>
    <xf numFmtId="0" fontId="116" fillId="59" borderId="154" xfId="0" applyFont="1" applyFill="1" applyBorder="1" applyAlignment="1">
      <alignment horizontal="center"/>
    </xf>
    <xf numFmtId="0" fontId="35" fillId="0" borderId="155" xfId="0" applyFont="1" applyBorder="1"/>
    <xf numFmtId="0" fontId="116" fillId="45" borderId="19" xfId="52" applyFont="1" applyFill="1" applyBorder="1" applyAlignment="1">
      <alignment horizontal="center"/>
    </xf>
    <xf numFmtId="0" fontId="116" fillId="45" borderId="21" xfId="52" applyFont="1" applyFill="1" applyBorder="1" applyAlignment="1">
      <alignment horizontal="center"/>
    </xf>
    <xf numFmtId="0" fontId="116" fillId="0" borderId="0" xfId="52" applyFont="1" applyBorder="1" applyAlignment="1">
      <alignment horizontal="center"/>
    </xf>
    <xf numFmtId="0" fontId="116" fillId="59" borderId="152" xfId="0" applyFont="1" applyFill="1" applyBorder="1" applyAlignment="1">
      <alignment horizontal="center" vertical="center" textRotation="90" wrapText="1"/>
    </xf>
    <xf numFmtId="0" fontId="35" fillId="0" borderId="156" xfId="0" applyFont="1" applyBorder="1"/>
    <xf numFmtId="0" fontId="35" fillId="0" borderId="157" xfId="0" applyFont="1" applyBorder="1"/>
    <xf numFmtId="0" fontId="116" fillId="59" borderId="159" xfId="0" applyFont="1" applyFill="1" applyBorder="1" applyAlignment="1">
      <alignment horizontal="center"/>
    </xf>
    <xf numFmtId="0" fontId="35" fillId="0" borderId="160" xfId="0" applyFont="1" applyBorder="1"/>
    <xf numFmtId="0" fontId="116" fillId="45" borderId="3" xfId="52" applyFont="1" applyFill="1" applyBorder="1" applyAlignment="1">
      <alignment horizontal="center" vertical="center" textRotation="88" wrapText="1"/>
    </xf>
    <xf numFmtId="0" fontId="116" fillId="45" borderId="59" xfId="52" applyFont="1" applyFill="1" applyBorder="1" applyAlignment="1">
      <alignment horizontal="center" vertical="center" textRotation="88" wrapText="1"/>
    </xf>
    <xf numFmtId="0" fontId="116" fillId="45" borderId="124" xfId="52" applyFont="1" applyFill="1" applyBorder="1" applyAlignment="1">
      <alignment horizontal="center" vertical="center" textRotation="88" wrapText="1"/>
    </xf>
    <xf numFmtId="0" fontId="116" fillId="45" borderId="3" xfId="52" applyFont="1" applyFill="1" applyBorder="1" applyAlignment="1">
      <alignment horizontal="center"/>
    </xf>
    <xf numFmtId="0" fontId="168" fillId="45" borderId="3" xfId="52" applyFont="1" applyFill="1" applyBorder="1" applyAlignment="1">
      <alignment horizontal="center"/>
    </xf>
    <xf numFmtId="0" fontId="116" fillId="45" borderId="125" xfId="52" applyFont="1" applyFill="1" applyBorder="1" applyAlignment="1">
      <alignment horizontal="center"/>
    </xf>
    <xf numFmtId="0" fontId="116" fillId="45" borderId="126" xfId="52" applyFont="1" applyFill="1" applyBorder="1" applyAlignment="1">
      <alignment horizontal="center"/>
    </xf>
    <xf numFmtId="0" fontId="120" fillId="2" borderId="0" xfId="2" applyFont="1" applyFill="1" applyBorder="1" applyAlignment="1">
      <alignment horizontal="left" vertical="center"/>
    </xf>
    <xf numFmtId="0" fontId="119" fillId="3" borderId="0" xfId="52" applyFont="1" applyFill="1" applyBorder="1" applyAlignment="1">
      <alignment horizontal="right"/>
    </xf>
    <xf numFmtId="0" fontId="116" fillId="0" borderId="0" xfId="52" applyFont="1" applyBorder="1" applyAlignment="1">
      <alignment horizontal="left"/>
    </xf>
    <xf numFmtId="0" fontId="119" fillId="0" borderId="0" xfId="52" applyFont="1" applyBorder="1" applyAlignment="1">
      <alignment horizontal="left" vertical="center" wrapText="1" indent="4"/>
    </xf>
    <xf numFmtId="0" fontId="121" fillId="0" borderId="0" xfId="52" applyFont="1" applyBorder="1" applyAlignment="1">
      <alignment horizontal="left" indent="4"/>
    </xf>
    <xf numFmtId="0" fontId="151" fillId="2" borderId="18" xfId="2" applyFont="1" applyFill="1" applyBorder="1" applyAlignment="1">
      <alignment horizontal="left"/>
    </xf>
    <xf numFmtId="0" fontId="152" fillId="3" borderId="27" xfId="48" applyFont="1" applyFill="1" applyBorder="1" applyAlignment="1">
      <alignment horizontal="center" vertical="center" wrapText="1"/>
    </xf>
    <xf numFmtId="0" fontId="152" fillId="3" borderId="45" xfId="48" applyFont="1" applyFill="1" applyBorder="1" applyAlignment="1">
      <alignment horizontal="center" vertical="center" wrapText="1"/>
    </xf>
    <xf numFmtId="0" fontId="152" fillId="3" borderId="28" xfId="48" applyFont="1" applyFill="1" applyBorder="1" applyAlignment="1">
      <alignment horizontal="center" vertical="center" wrapText="1"/>
    </xf>
    <xf numFmtId="0" fontId="157" fillId="2" borderId="0" xfId="2" applyFont="1" applyFill="1" applyAlignment="1">
      <alignment horizontal="center" wrapText="1"/>
    </xf>
    <xf numFmtId="0" fontId="157" fillId="2" borderId="0" xfId="2" applyFont="1" applyFill="1" applyAlignment="1">
      <alignment horizontal="center"/>
    </xf>
    <xf numFmtId="0" fontId="146" fillId="4" borderId="3" xfId="0" applyFont="1" applyFill="1" applyBorder="1" applyAlignment="1">
      <alignment horizontal="center" vertical="center" wrapText="1"/>
    </xf>
    <xf numFmtId="165" fontId="152" fillId="4" borderId="59" xfId="1" applyNumberFormat="1" applyFont="1" applyFill="1" applyBorder="1" applyAlignment="1">
      <alignment horizontal="center" vertical="center" wrapText="1"/>
    </xf>
    <xf numFmtId="165" fontId="152" fillId="4" borderId="54" xfId="1" applyNumberFormat="1" applyFont="1" applyFill="1" applyBorder="1" applyAlignment="1">
      <alignment horizontal="center" vertical="center" wrapText="1"/>
    </xf>
    <xf numFmtId="0" fontId="179" fillId="3" borderId="22" xfId="48" applyFont="1" applyFill="1" applyBorder="1" applyAlignment="1">
      <alignment horizontal="left" vertical="center" wrapText="1"/>
    </xf>
    <xf numFmtId="0" fontId="179" fillId="3" borderId="23" xfId="48" applyFont="1" applyFill="1" applyBorder="1" applyAlignment="1">
      <alignment horizontal="left" vertical="center" wrapText="1"/>
    </xf>
    <xf numFmtId="164" fontId="57" fillId="45" borderId="7" xfId="1" applyNumberFormat="1" applyFont="1" applyFill="1" applyBorder="1" applyAlignment="1">
      <alignment horizontal="left" wrapText="1"/>
    </xf>
    <xf numFmtId="164" fontId="57" fillId="45" borderId="8" xfId="1" applyNumberFormat="1" applyFont="1" applyFill="1" applyBorder="1" applyAlignment="1">
      <alignment horizontal="left" wrapText="1"/>
    </xf>
    <xf numFmtId="49" fontId="59" fillId="45" borderId="47" xfId="0" applyNumberFormat="1" applyFont="1" applyFill="1" applyBorder="1" applyAlignment="1">
      <alignment horizontal="left" vertical="center" wrapText="1"/>
    </xf>
    <xf numFmtId="49" fontId="59" fillId="45" borderId="36" xfId="0" applyNumberFormat="1" applyFont="1" applyFill="1" applyBorder="1" applyAlignment="1">
      <alignment horizontal="left" vertical="center" wrapText="1"/>
    </xf>
    <xf numFmtId="49" fontId="59" fillId="45" borderId="4" xfId="0" applyNumberFormat="1" applyFont="1" applyFill="1" applyBorder="1" applyAlignment="1">
      <alignment horizontal="left" vertical="center" wrapText="1"/>
    </xf>
    <xf numFmtId="49" fontId="59" fillId="45" borderId="5" xfId="0" applyNumberFormat="1" applyFont="1" applyFill="1" applyBorder="1" applyAlignment="1">
      <alignment horizontal="left" vertical="center" wrapText="1"/>
    </xf>
    <xf numFmtId="49" fontId="61" fillId="45" borderId="4" xfId="0" applyNumberFormat="1" applyFont="1" applyFill="1" applyBorder="1" applyAlignment="1">
      <alignment horizontal="left" vertical="center" wrapText="1"/>
    </xf>
    <xf numFmtId="49" fontId="61" fillId="45" borderId="5" xfId="0" applyNumberFormat="1" applyFont="1" applyFill="1" applyBorder="1" applyAlignment="1">
      <alignment horizontal="left" vertical="center" wrapText="1"/>
    </xf>
    <xf numFmtId="49" fontId="59" fillId="49" borderId="4" xfId="0" applyNumberFormat="1" applyFont="1" applyFill="1" applyBorder="1" applyAlignment="1">
      <alignment horizontal="left" vertical="center" wrapText="1"/>
    </xf>
    <xf numFmtId="49" fontId="59" fillId="49" borderId="5" xfId="0" applyNumberFormat="1" applyFont="1" applyFill="1" applyBorder="1" applyAlignment="1">
      <alignment horizontal="left" vertical="center" wrapText="1"/>
    </xf>
    <xf numFmtId="49" fontId="61" fillId="49" borderId="4" xfId="0" applyNumberFormat="1" applyFont="1" applyFill="1" applyBorder="1" applyAlignment="1">
      <alignment horizontal="left" vertical="center" wrapText="1"/>
    </xf>
    <xf numFmtId="49" fontId="61" fillId="49" borderId="5" xfId="0" applyNumberFormat="1" applyFont="1" applyFill="1" applyBorder="1" applyAlignment="1">
      <alignment horizontal="left" vertical="center" wrapText="1"/>
    </xf>
    <xf numFmtId="49" fontId="61" fillId="5" borderId="25" xfId="0" applyNumberFormat="1" applyFont="1" applyFill="1" applyBorder="1" applyAlignment="1">
      <alignment horizontal="center" vertical="center" wrapText="1"/>
    </xf>
    <xf numFmtId="49" fontId="61" fillId="5" borderId="26" xfId="0" applyNumberFormat="1" applyFont="1" applyFill="1" applyBorder="1" applyAlignment="1">
      <alignment horizontal="center" vertical="center" wrapText="1"/>
    </xf>
    <xf numFmtId="49" fontId="61" fillId="5" borderId="108" xfId="0" applyNumberFormat="1" applyFont="1" applyFill="1" applyBorder="1" applyAlignment="1">
      <alignment horizontal="center" vertical="center" wrapText="1"/>
    </xf>
    <xf numFmtId="0" fontId="80" fillId="2" borderId="18" xfId="2" applyFont="1" applyFill="1" applyBorder="1" applyAlignment="1">
      <alignment horizontal="left"/>
    </xf>
    <xf numFmtId="0" fontId="110" fillId="2" borderId="0" xfId="2" applyFont="1" applyFill="1" applyAlignment="1">
      <alignment horizontal="center"/>
    </xf>
    <xf numFmtId="0" fontId="57" fillId="45" borderId="3" xfId="0" applyFont="1" applyFill="1" applyBorder="1" applyAlignment="1">
      <alignment horizontal="center" vertical="center" wrapText="1"/>
    </xf>
    <xf numFmtId="165" fontId="12" fillId="45" borderId="59" xfId="1" applyNumberFormat="1" applyFont="1" applyFill="1" applyBorder="1" applyAlignment="1">
      <alignment horizontal="center" vertical="center" wrapText="1"/>
    </xf>
    <xf numFmtId="165" fontId="12" fillId="45" borderId="56" xfId="1" applyNumberFormat="1" applyFont="1" applyFill="1" applyBorder="1" applyAlignment="1">
      <alignment horizontal="center" vertical="center" wrapText="1"/>
    </xf>
    <xf numFmtId="0" fontId="33" fillId="3" borderId="27" xfId="0" applyFont="1" applyFill="1" applyBorder="1" applyAlignment="1">
      <alignment horizontal="center" vertical="center" wrapText="1"/>
    </xf>
    <xf numFmtId="0" fontId="33" fillId="3" borderId="45" xfId="0" applyFont="1" applyFill="1" applyBorder="1" applyAlignment="1">
      <alignment horizontal="center" vertical="center" wrapText="1"/>
    </xf>
    <xf numFmtId="0" fontId="33" fillId="3" borderId="28" xfId="0" applyFont="1" applyFill="1" applyBorder="1" applyAlignment="1">
      <alignment horizontal="center" vertical="center" wrapText="1"/>
    </xf>
    <xf numFmtId="49" fontId="66" fillId="3" borderId="4" xfId="0" applyNumberFormat="1" applyFont="1" applyFill="1" applyBorder="1" applyAlignment="1">
      <alignment horizontal="center" vertical="center" wrapText="1"/>
    </xf>
    <xf numFmtId="49" fontId="66" fillId="3" borderId="5" xfId="0" applyNumberFormat="1" applyFont="1" applyFill="1" applyBorder="1" applyAlignment="1">
      <alignment horizontal="center" vertical="center" wrapText="1"/>
    </xf>
    <xf numFmtId="49" fontId="66" fillId="3" borderId="6" xfId="0" applyNumberFormat="1" applyFont="1" applyFill="1" applyBorder="1" applyAlignment="1">
      <alignment horizontal="center" vertical="center" wrapText="1"/>
    </xf>
    <xf numFmtId="0" fontId="110" fillId="2" borderId="0" xfId="54" applyFont="1" applyFill="1" applyAlignment="1">
      <alignment horizontal="center" wrapText="1"/>
    </xf>
    <xf numFmtId="165" fontId="12" fillId="45" borderId="54" xfId="1" applyNumberFormat="1" applyFont="1" applyFill="1" applyBorder="1" applyAlignment="1">
      <alignment horizontal="center" vertical="center" wrapText="1"/>
    </xf>
    <xf numFmtId="165" fontId="68" fillId="3" borderId="19" xfId="1" applyNumberFormat="1" applyFont="1" applyFill="1" applyBorder="1" applyAlignment="1">
      <alignment horizontal="left" vertical="center" wrapText="1"/>
    </xf>
    <xf numFmtId="165" fontId="68" fillId="3" borderId="20" xfId="1" applyNumberFormat="1" applyFont="1" applyFill="1" applyBorder="1" applyAlignment="1">
      <alignment horizontal="left" vertical="center" wrapText="1"/>
    </xf>
    <xf numFmtId="165" fontId="68" fillId="3" borderId="21" xfId="1" applyNumberFormat="1" applyFont="1" applyFill="1" applyBorder="1" applyAlignment="1">
      <alignment horizontal="left" vertical="center" wrapText="1"/>
    </xf>
    <xf numFmtId="0" fontId="162" fillId="0" borderId="0" xfId="40" applyFont="1" applyFill="1" applyBorder="1" applyAlignment="1">
      <alignment horizontal="center" vertical="center"/>
    </xf>
    <xf numFmtId="0" fontId="124" fillId="0" borderId="18" xfId="40" applyFont="1" applyFill="1" applyBorder="1" applyAlignment="1">
      <alignment horizontal="center" vertical="center"/>
    </xf>
    <xf numFmtId="0" fontId="68" fillId="0" borderId="20" xfId="0" applyFont="1" applyFill="1" applyBorder="1" applyAlignment="1">
      <alignment horizontal="left" vertical="center" wrapText="1"/>
    </xf>
    <xf numFmtId="0" fontId="68" fillId="0" borderId="21" xfId="0" applyFont="1" applyFill="1" applyBorder="1" applyAlignment="1">
      <alignment horizontal="left" vertical="center" wrapText="1"/>
    </xf>
    <xf numFmtId="165" fontId="68" fillId="3" borderId="19" xfId="1" applyNumberFormat="1" applyFont="1" applyFill="1" applyBorder="1" applyAlignment="1">
      <alignment horizontal="left" vertical="center"/>
    </xf>
    <xf numFmtId="165" fontId="68" fillId="3" borderId="20" xfId="1" applyNumberFormat="1" applyFont="1" applyFill="1" applyBorder="1" applyAlignment="1">
      <alignment horizontal="left" vertical="center"/>
    </xf>
    <xf numFmtId="165" fontId="68" fillId="3" borderId="21" xfId="1" applyNumberFormat="1" applyFont="1" applyFill="1" applyBorder="1" applyAlignment="1">
      <alignment horizontal="left" vertical="center"/>
    </xf>
    <xf numFmtId="0" fontId="152" fillId="3" borderId="27" xfId="54" applyFont="1" applyFill="1" applyBorder="1" applyAlignment="1">
      <alignment horizontal="center" vertical="center" wrapText="1"/>
    </xf>
    <xf numFmtId="0" fontId="152" fillId="3" borderId="45" xfId="54" applyFont="1" applyFill="1" applyBorder="1" applyAlignment="1">
      <alignment horizontal="center" vertical="center" wrapText="1"/>
    </xf>
    <xf numFmtId="0" fontId="152" fillId="3" borderId="28" xfId="54" applyFont="1" applyFill="1" applyBorder="1" applyAlignment="1">
      <alignment horizontal="center" vertical="center" wrapText="1"/>
    </xf>
    <xf numFmtId="0" fontId="165" fillId="2" borderId="18" xfId="2" applyFont="1" applyFill="1" applyBorder="1" applyAlignment="1">
      <alignment horizontal="left"/>
    </xf>
    <xf numFmtId="165" fontId="59" fillId="45" borderId="47" xfId="1" applyNumberFormat="1" applyFont="1" applyFill="1" applyBorder="1" applyAlignment="1">
      <alignment horizontal="left" vertical="center" wrapText="1"/>
    </xf>
    <xf numFmtId="165" fontId="59" fillId="45" borderId="36" xfId="1" applyNumberFormat="1" applyFont="1" applyFill="1" applyBorder="1" applyAlignment="1">
      <alignment horizontal="left" vertical="center" wrapText="1"/>
    </xf>
    <xf numFmtId="165" fontId="59" fillId="45" borderId="4" xfId="1" applyNumberFormat="1" applyFont="1" applyFill="1" applyBorder="1" applyAlignment="1">
      <alignment horizontal="left" vertical="center" wrapText="1"/>
    </xf>
    <xf numFmtId="165" fontId="59" fillId="45" borderId="5" xfId="1" applyNumberFormat="1" applyFont="1" applyFill="1" applyBorder="1" applyAlignment="1">
      <alignment horizontal="left" vertical="center" wrapText="1"/>
    </xf>
    <xf numFmtId="165" fontId="61" fillId="45" borderId="4" xfId="1" applyNumberFormat="1" applyFont="1" applyFill="1" applyBorder="1" applyAlignment="1">
      <alignment horizontal="left" vertical="center" wrapText="1"/>
    </xf>
    <xf numFmtId="165" fontId="61" fillId="45" borderId="5" xfId="1" applyNumberFormat="1" applyFont="1" applyFill="1" applyBorder="1" applyAlignment="1">
      <alignment horizontal="left" vertical="center" wrapText="1"/>
    </xf>
    <xf numFmtId="165" fontId="66" fillId="5" borderId="25" xfId="1" applyNumberFormat="1" applyFont="1" applyFill="1" applyBorder="1" applyAlignment="1">
      <alignment horizontal="center" vertical="center" wrapText="1"/>
    </xf>
    <xf numFmtId="165" fontId="66" fillId="5" borderId="26" xfId="1" applyNumberFormat="1" applyFont="1" applyFill="1" applyBorder="1" applyAlignment="1">
      <alignment horizontal="center" vertical="center" wrapText="1"/>
    </xf>
    <xf numFmtId="165" fontId="66" fillId="5" borderId="108" xfId="1" applyNumberFormat="1" applyFont="1" applyFill="1" applyBorder="1" applyAlignment="1">
      <alignment horizontal="center" vertical="center" wrapText="1"/>
    </xf>
    <xf numFmtId="165" fontId="59" fillId="49" borderId="4" xfId="1" applyNumberFormat="1" applyFont="1" applyFill="1" applyBorder="1" applyAlignment="1">
      <alignment horizontal="left" vertical="center" wrapText="1"/>
    </xf>
    <xf numFmtId="165" fontId="59" fillId="49" borderId="5" xfId="1" applyNumberFormat="1" applyFont="1" applyFill="1" applyBorder="1" applyAlignment="1">
      <alignment horizontal="left" vertical="center" wrapText="1"/>
    </xf>
    <xf numFmtId="165" fontId="70" fillId="49" borderId="4" xfId="1" applyNumberFormat="1" applyFont="1" applyFill="1" applyBorder="1" applyAlignment="1">
      <alignment horizontal="left" vertical="center" wrapText="1"/>
    </xf>
    <xf numFmtId="165" fontId="70" fillId="49" borderId="5" xfId="1" applyNumberFormat="1" applyFont="1" applyFill="1" applyBorder="1" applyAlignment="1">
      <alignment horizontal="left" vertical="center" wrapText="1"/>
    </xf>
    <xf numFmtId="165" fontId="61" fillId="49" borderId="4" xfId="1" applyNumberFormat="1" applyFont="1" applyFill="1" applyBorder="1" applyAlignment="1">
      <alignment horizontal="left" vertical="center" wrapText="1"/>
    </xf>
    <xf numFmtId="165" fontId="61" fillId="49" borderId="5" xfId="1" applyNumberFormat="1" applyFont="1" applyFill="1" applyBorder="1" applyAlignment="1">
      <alignment horizontal="left" vertical="center" wrapText="1"/>
    </xf>
    <xf numFmtId="165" fontId="57" fillId="45" borderId="7" xfId="1" applyNumberFormat="1" applyFont="1" applyFill="1" applyBorder="1" applyAlignment="1">
      <alignment horizontal="left" wrapText="1"/>
    </xf>
    <xf numFmtId="165" fontId="57" fillId="45" borderId="8" xfId="1" applyNumberFormat="1" applyFont="1" applyFill="1" applyBorder="1" applyAlignment="1">
      <alignment horizontal="left" wrapText="1"/>
    </xf>
    <xf numFmtId="165" fontId="66" fillId="3" borderId="4" xfId="1" applyNumberFormat="1" applyFont="1" applyFill="1" applyBorder="1" applyAlignment="1">
      <alignment horizontal="center" vertical="center" wrapText="1"/>
    </xf>
    <xf numFmtId="165" fontId="66" fillId="3" borderId="5" xfId="1" applyNumberFormat="1" applyFont="1" applyFill="1" applyBorder="1" applyAlignment="1">
      <alignment horizontal="center" vertical="center" wrapText="1"/>
    </xf>
    <xf numFmtId="165" fontId="66" fillId="3" borderId="6" xfId="1" applyNumberFormat="1" applyFont="1" applyFill="1" applyBorder="1" applyAlignment="1">
      <alignment horizontal="center" vertical="center" wrapText="1"/>
    </xf>
    <xf numFmtId="0" fontId="12" fillId="31" borderId="3" xfId="2" applyFont="1" applyFill="1" applyBorder="1" applyAlignment="1">
      <alignment horizontal="center" vertical="center" wrapText="1"/>
    </xf>
    <xf numFmtId="0" fontId="12" fillId="31" borderId="3" xfId="2" applyFont="1" applyFill="1" applyBorder="1" applyAlignment="1">
      <alignment horizontal="center" vertical="center"/>
    </xf>
    <xf numFmtId="0" fontId="38" fillId="31" borderId="3" xfId="2" applyFont="1" applyFill="1" applyBorder="1" applyAlignment="1">
      <alignment horizontal="center" vertical="center" wrapText="1"/>
    </xf>
    <xf numFmtId="0" fontId="53" fillId="2" borderId="0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right"/>
    </xf>
    <xf numFmtId="0" fontId="76" fillId="2" borderId="0" xfId="2" applyFont="1" applyFill="1" applyBorder="1" applyAlignment="1">
      <alignment horizontal="left"/>
    </xf>
    <xf numFmtId="0" fontId="83" fillId="2" borderId="18" xfId="2" applyFont="1" applyFill="1" applyBorder="1" applyAlignment="1">
      <alignment horizontal="right"/>
    </xf>
    <xf numFmtId="0" fontId="80" fillId="45" borderId="3" xfId="2" applyFont="1" applyFill="1" applyBorder="1" applyAlignment="1">
      <alignment horizontal="left" vertical="center"/>
    </xf>
    <xf numFmtId="0" fontId="35" fillId="31" borderId="3" xfId="2" applyFont="1" applyFill="1" applyBorder="1" applyAlignment="1">
      <alignment horizontal="center" vertical="center"/>
    </xf>
    <xf numFmtId="41" fontId="35" fillId="2" borderId="52" xfId="2" applyNumberFormat="1" applyFont="1" applyFill="1" applyBorder="1" applyAlignment="1">
      <alignment horizontal="center" vertical="center"/>
    </xf>
    <xf numFmtId="41" fontId="35" fillId="2" borderId="39" xfId="2" applyNumberFormat="1" applyFont="1" applyFill="1" applyBorder="1" applyAlignment="1">
      <alignment horizontal="center" vertical="center"/>
    </xf>
    <xf numFmtId="175" fontId="35" fillId="2" borderId="52" xfId="59" applyNumberFormat="1" applyFont="1" applyFill="1" applyBorder="1" applyAlignment="1">
      <alignment horizontal="center" vertical="center"/>
    </xf>
    <xf numFmtId="175" fontId="35" fillId="2" borderId="39" xfId="59" applyNumberFormat="1" applyFont="1" applyFill="1" applyBorder="1" applyAlignment="1">
      <alignment horizontal="center" vertical="center"/>
    </xf>
    <xf numFmtId="175" fontId="35" fillId="2" borderId="53" xfId="59" applyNumberFormat="1" applyFont="1" applyFill="1" applyBorder="1" applyAlignment="1">
      <alignment horizontal="center" vertical="center"/>
    </xf>
    <xf numFmtId="175" fontId="35" fillId="2" borderId="40" xfId="59" applyNumberFormat="1" applyFont="1" applyFill="1" applyBorder="1" applyAlignment="1">
      <alignment horizontal="center" vertical="center"/>
    </xf>
    <xf numFmtId="0" fontId="14" fillId="45" borderId="31" xfId="2" applyFont="1" applyFill="1" applyBorder="1" applyAlignment="1">
      <alignment horizontal="center" vertical="center"/>
    </xf>
    <xf numFmtId="0" fontId="14" fillId="45" borderId="55" xfId="2" applyFont="1" applyFill="1" applyBorder="1" applyAlignment="1">
      <alignment horizontal="center" vertical="center"/>
    </xf>
    <xf numFmtId="0" fontId="78" fillId="0" borderId="19" xfId="2" applyFont="1" applyFill="1" applyBorder="1" applyAlignment="1">
      <alignment horizontal="center" vertical="center"/>
    </xf>
    <xf numFmtId="0" fontId="78" fillId="0" borderId="20" xfId="2" applyFont="1" applyFill="1" applyBorder="1" applyAlignment="1">
      <alignment horizontal="center" vertical="center"/>
    </xf>
    <xf numFmtId="0" fontId="78" fillId="0" borderId="21" xfId="2" applyFont="1" applyFill="1" applyBorder="1" applyAlignment="1">
      <alignment horizontal="center" vertical="center"/>
    </xf>
    <xf numFmtId="0" fontId="35" fillId="2" borderId="49" xfId="2" applyFont="1" applyFill="1" applyBorder="1" applyAlignment="1">
      <alignment vertical="center"/>
    </xf>
    <xf numFmtId="0" fontId="35" fillId="2" borderId="54" xfId="2" applyFont="1" applyFill="1" applyBorder="1" applyAlignment="1">
      <alignment vertical="center"/>
    </xf>
    <xf numFmtId="41" fontId="35" fillId="2" borderId="4" xfId="2" applyNumberFormat="1" applyFont="1" applyFill="1" applyBorder="1" applyAlignment="1">
      <alignment horizontal="center" vertical="center"/>
    </xf>
    <xf numFmtId="175" fontId="35" fillId="2" borderId="2" xfId="59" applyNumberFormat="1" applyFont="1" applyFill="1" applyBorder="1" applyAlignment="1">
      <alignment horizontal="center" vertical="center"/>
    </xf>
    <xf numFmtId="41" fontId="35" fillId="2" borderId="2" xfId="2" applyNumberFormat="1" applyFont="1" applyFill="1" applyBorder="1" applyAlignment="1">
      <alignment horizontal="center" vertical="center"/>
    </xf>
    <xf numFmtId="175" fontId="35" fillId="2" borderId="74" xfId="59" applyNumberFormat="1" applyFont="1" applyFill="1" applyBorder="1" applyAlignment="1">
      <alignment horizontal="center" vertical="center"/>
    </xf>
    <xf numFmtId="0" fontId="39" fillId="31" borderId="3" xfId="2" applyFont="1" applyFill="1" applyBorder="1" applyAlignment="1">
      <alignment horizontal="center" vertical="center" wrapText="1"/>
    </xf>
    <xf numFmtId="0" fontId="39" fillId="31" borderId="3" xfId="2" applyFont="1" applyFill="1" applyBorder="1" applyAlignment="1">
      <alignment horizontal="center" vertical="center"/>
    </xf>
    <xf numFmtId="0" fontId="13" fillId="35" borderId="31" xfId="2" applyFont="1" applyFill="1" applyBorder="1" applyAlignment="1">
      <alignment horizontal="center" vertical="center"/>
    </xf>
    <xf numFmtId="0" fontId="13" fillId="35" borderId="55" xfId="2" applyFont="1" applyFill="1" applyBorder="1" applyAlignment="1">
      <alignment horizontal="center" vertical="center"/>
    </xf>
    <xf numFmtId="0" fontId="13" fillId="45" borderId="31" xfId="2" applyFont="1" applyFill="1" applyBorder="1" applyAlignment="1">
      <alignment horizontal="center" vertical="center"/>
    </xf>
    <xf numFmtId="0" fontId="13" fillId="45" borderId="55" xfId="2" applyFont="1" applyFill="1" applyBorder="1" applyAlignment="1">
      <alignment horizontal="center" vertical="center"/>
    </xf>
    <xf numFmtId="0" fontId="13" fillId="35" borderId="29" xfId="2" applyFont="1" applyFill="1" applyBorder="1" applyAlignment="1">
      <alignment horizontal="center" vertical="center"/>
    </xf>
    <xf numFmtId="0" fontId="13" fillId="35" borderId="0" xfId="2" applyFont="1" applyFill="1" applyBorder="1" applyAlignment="1">
      <alignment horizontal="center" vertical="center"/>
    </xf>
    <xf numFmtId="0" fontId="77" fillId="45" borderId="3" xfId="2" applyFont="1" applyFill="1" applyBorder="1" applyAlignment="1">
      <alignment horizontal="left" vertical="center"/>
    </xf>
    <xf numFmtId="0" fontId="80" fillId="0" borderId="128" xfId="2" applyFont="1" applyBorder="1" applyAlignment="1">
      <alignment horizontal="right"/>
    </xf>
    <xf numFmtId="0" fontId="80" fillId="0" borderId="129" xfId="2" applyFont="1" applyBorder="1" applyAlignment="1">
      <alignment horizontal="right"/>
    </xf>
    <xf numFmtId="0" fontId="111" fillId="2" borderId="0" xfId="2" applyFont="1" applyFill="1" applyBorder="1" applyAlignment="1">
      <alignment horizontal="center" wrapText="1"/>
    </xf>
    <xf numFmtId="0" fontId="35" fillId="33" borderId="50" xfId="2" applyFont="1" applyFill="1" applyBorder="1" applyAlignment="1">
      <alignment horizontal="center" vertical="center" textRotation="90" wrapText="1"/>
    </xf>
    <xf numFmtId="0" fontId="35" fillId="33" borderId="72" xfId="2" applyFont="1" applyFill="1" applyBorder="1" applyAlignment="1">
      <alignment horizontal="center" vertical="center" textRotation="90" wrapText="1"/>
    </xf>
    <xf numFmtId="0" fontId="14" fillId="33" borderId="5" xfId="2" applyFont="1" applyFill="1" applyBorder="1" applyAlignment="1">
      <alignment horizontal="center" vertical="center"/>
    </xf>
    <xf numFmtId="0" fontId="14" fillId="33" borderId="5" xfId="2" applyFont="1" applyFill="1" applyBorder="1" applyAlignment="1">
      <alignment horizontal="center" vertical="center" wrapText="1"/>
    </xf>
    <xf numFmtId="0" fontId="14" fillId="33" borderId="6" xfId="2" applyFont="1" applyFill="1" applyBorder="1" applyAlignment="1">
      <alignment horizontal="center" vertical="center"/>
    </xf>
    <xf numFmtId="0" fontId="40" fillId="0" borderId="45" xfId="2" applyFont="1" applyBorder="1" applyAlignment="1">
      <alignment vertical="center" wrapText="1"/>
    </xf>
    <xf numFmtId="0" fontId="69" fillId="3" borderId="45" xfId="61" applyFont="1" applyFill="1" applyBorder="1" applyAlignment="1">
      <alignment horizontal="center" vertical="center"/>
    </xf>
    <xf numFmtId="0" fontId="35" fillId="33" borderId="59" xfId="2" applyFont="1" applyFill="1" applyBorder="1" applyAlignment="1">
      <alignment horizontal="center" vertical="center" wrapText="1"/>
    </xf>
    <xf numFmtId="0" fontId="35" fillId="33" borderId="60" xfId="2" applyFont="1" applyFill="1" applyBorder="1" applyAlignment="1">
      <alignment horizontal="center" vertical="center" wrapText="1"/>
    </xf>
    <xf numFmtId="0" fontId="35" fillId="33" borderId="56" xfId="2" applyFont="1" applyFill="1" applyBorder="1" applyAlignment="1">
      <alignment horizontal="center" vertical="center" wrapText="1"/>
    </xf>
    <xf numFmtId="0" fontId="14" fillId="33" borderId="27" xfId="2" applyFont="1" applyFill="1" applyBorder="1" applyAlignment="1">
      <alignment horizontal="center" vertical="center"/>
    </xf>
    <xf numFmtId="0" fontId="14" fillId="33" borderId="45" xfId="2" applyFont="1" applyFill="1" applyBorder="1" applyAlignment="1">
      <alignment horizontal="center" vertical="center"/>
    </xf>
    <xf numFmtId="0" fontId="14" fillId="33" borderId="28" xfId="2" applyFont="1" applyFill="1" applyBorder="1" applyAlignment="1">
      <alignment horizontal="center" vertical="center"/>
    </xf>
    <xf numFmtId="0" fontId="14" fillId="33" borderId="34" xfId="2" applyFont="1" applyFill="1" applyBorder="1" applyAlignment="1">
      <alignment horizontal="center" vertical="center"/>
    </xf>
    <xf numFmtId="0" fontId="14" fillId="33" borderId="35" xfId="2" applyFont="1" applyFill="1" applyBorder="1" applyAlignment="1">
      <alignment horizontal="center" vertical="center"/>
    </xf>
    <xf numFmtId="0" fontId="14" fillId="33" borderId="77" xfId="2" applyFont="1" applyFill="1" applyBorder="1" applyAlignment="1">
      <alignment horizontal="center" vertical="center"/>
    </xf>
    <xf numFmtId="0" fontId="69" fillId="3" borderId="45" xfId="40" applyFont="1" applyFill="1" applyBorder="1" applyAlignment="1">
      <alignment horizontal="center" vertical="center"/>
    </xf>
    <xf numFmtId="0" fontId="69" fillId="3" borderId="28" xfId="4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/>
    </xf>
    <xf numFmtId="0" fontId="123" fillId="2" borderId="0" xfId="48" applyFont="1" applyFill="1" applyBorder="1" applyAlignment="1">
      <alignment horizontal="left" wrapText="1"/>
    </xf>
    <xf numFmtId="0" fontId="68" fillId="45" borderId="3" xfId="0" applyFont="1" applyFill="1" applyBorder="1" applyAlignment="1">
      <alignment horizontal="center" vertical="center" wrapText="1"/>
    </xf>
    <xf numFmtId="0" fontId="12" fillId="45" borderId="3" xfId="2" applyFont="1" applyFill="1" applyBorder="1" applyAlignment="1">
      <alignment horizontal="center" vertical="center" wrapText="1"/>
    </xf>
    <xf numFmtId="165" fontId="12" fillId="45" borderId="3" xfId="1" applyNumberFormat="1" applyFont="1" applyFill="1" applyBorder="1" applyAlignment="1">
      <alignment horizontal="center" vertical="center" wrapText="1"/>
    </xf>
    <xf numFmtId="0" fontId="126" fillId="2" borderId="0" xfId="48" applyFont="1" applyFill="1" applyAlignment="1">
      <alignment horizontal="center" vertical="center" wrapText="1"/>
    </xf>
    <xf numFmtId="0" fontId="12" fillId="45" borderId="19" xfId="2" applyFont="1" applyFill="1" applyBorder="1" applyAlignment="1">
      <alignment horizontal="center" vertical="center" wrapText="1"/>
    </xf>
    <xf numFmtId="0" fontId="12" fillId="45" borderId="21" xfId="2" applyFont="1" applyFill="1" applyBorder="1" applyAlignment="1">
      <alignment horizontal="center" vertical="center" wrapText="1"/>
    </xf>
    <xf numFmtId="0" fontId="123" fillId="2" borderId="0" xfId="48" applyFont="1" applyFill="1" applyAlignment="1">
      <alignment horizontal="left" wrapText="1"/>
    </xf>
    <xf numFmtId="41" fontId="14" fillId="0" borderId="59" xfId="2" applyNumberFormat="1" applyFont="1" applyFill="1" applyBorder="1" applyAlignment="1">
      <alignment horizontal="center" vertical="center" wrapText="1"/>
    </xf>
    <xf numFmtId="41" fontId="14" fillId="0" borderId="60" xfId="2" applyNumberFormat="1" applyFont="1" applyFill="1" applyBorder="1" applyAlignment="1">
      <alignment horizontal="center" vertical="center" wrapText="1"/>
    </xf>
    <xf numFmtId="41" fontId="14" fillId="0" borderId="56" xfId="2" applyNumberFormat="1" applyFont="1" applyFill="1" applyBorder="1" applyAlignment="1">
      <alignment horizontal="center" vertical="center" wrapText="1"/>
    </xf>
    <xf numFmtId="0" fontId="14" fillId="0" borderId="45" xfId="2" applyFont="1" applyBorder="1" applyAlignment="1">
      <alignment horizontal="center"/>
    </xf>
    <xf numFmtId="41" fontId="14" fillId="32" borderId="19" xfId="2" applyNumberFormat="1" applyFont="1" applyFill="1" applyBorder="1" applyAlignment="1">
      <alignment horizontal="left" vertical="center" wrapText="1"/>
    </xf>
    <xf numFmtId="41" fontId="14" fillId="32" borderId="20" xfId="2" applyNumberFormat="1" applyFont="1" applyFill="1" applyBorder="1" applyAlignment="1">
      <alignment horizontal="left" vertical="center" wrapText="1"/>
    </xf>
    <xf numFmtId="41" fontId="14" fillId="32" borderId="21" xfId="2" applyNumberFormat="1" applyFont="1" applyFill="1" applyBorder="1" applyAlignment="1">
      <alignment horizontal="left" vertical="center" wrapText="1"/>
    </xf>
    <xf numFmtId="0" fontId="79" fillId="2" borderId="0" xfId="2" applyFont="1" applyFill="1" applyBorder="1" applyAlignment="1">
      <alignment horizontal="center" wrapText="1"/>
    </xf>
    <xf numFmtId="0" fontId="83" fillId="0" borderId="20" xfId="2" applyFont="1" applyBorder="1" applyAlignment="1">
      <alignment horizontal="right"/>
    </xf>
    <xf numFmtId="0" fontId="35" fillId="31" borderId="62" xfId="2" applyFont="1" applyFill="1" applyBorder="1" applyAlignment="1">
      <alignment horizontal="center" vertical="center"/>
    </xf>
    <xf numFmtId="0" fontId="35" fillId="31" borderId="63" xfId="2" applyFont="1" applyFill="1" applyBorder="1" applyAlignment="1">
      <alignment horizontal="center" vertical="center"/>
    </xf>
    <xf numFmtId="0" fontId="35" fillId="31" borderId="64" xfId="2" applyFont="1" applyFill="1" applyBorder="1" applyAlignment="1">
      <alignment horizontal="center" vertical="center"/>
    </xf>
    <xf numFmtId="0" fontId="35" fillId="31" borderId="62" xfId="2" applyFont="1" applyFill="1" applyBorder="1" applyAlignment="1">
      <alignment horizontal="center" vertical="center" wrapText="1"/>
    </xf>
    <xf numFmtId="0" fontId="35" fillId="31" borderId="63" xfId="2" applyFont="1" applyFill="1" applyBorder="1" applyAlignment="1">
      <alignment horizontal="center" vertical="center" wrapText="1"/>
    </xf>
    <xf numFmtId="0" fontId="35" fillId="31" borderId="64" xfId="2" applyFont="1" applyFill="1" applyBorder="1" applyAlignment="1">
      <alignment horizontal="center" vertical="center" wrapText="1"/>
    </xf>
    <xf numFmtId="41" fontId="14" fillId="32" borderId="30" xfId="2" applyNumberFormat="1" applyFont="1" applyFill="1" applyBorder="1" applyAlignment="1">
      <alignment horizontal="left" vertical="center"/>
    </xf>
    <xf numFmtId="41" fontId="14" fillId="32" borderId="18" xfId="2" applyNumberFormat="1" applyFont="1" applyFill="1" applyBorder="1" applyAlignment="1">
      <alignment horizontal="left" vertical="center"/>
    </xf>
    <xf numFmtId="41" fontId="14" fillId="32" borderId="114" xfId="2" applyNumberFormat="1" applyFont="1" applyFill="1" applyBorder="1" applyAlignment="1">
      <alignment horizontal="left" vertical="center"/>
    </xf>
    <xf numFmtId="41" fontId="13" fillId="32" borderId="19" xfId="2" applyNumberFormat="1" applyFont="1" applyFill="1" applyBorder="1" applyAlignment="1">
      <alignment horizontal="left" vertical="center"/>
    </xf>
    <xf numFmtId="41" fontId="13" fillId="32" borderId="20" xfId="2" applyNumberFormat="1" applyFont="1" applyFill="1" applyBorder="1" applyAlignment="1">
      <alignment horizontal="left" vertical="center"/>
    </xf>
    <xf numFmtId="41" fontId="13" fillId="32" borderId="21" xfId="2" applyNumberFormat="1" applyFont="1" applyFill="1" applyBorder="1" applyAlignment="1">
      <alignment horizontal="left" vertical="center"/>
    </xf>
    <xf numFmtId="0" fontId="35" fillId="31" borderId="3" xfId="2" applyFont="1" applyFill="1" applyBorder="1" applyAlignment="1">
      <alignment horizontal="center" vertical="center" wrapText="1"/>
    </xf>
    <xf numFmtId="0" fontId="35" fillId="31" borderId="59" xfId="2" applyFont="1" applyFill="1" applyBorder="1" applyAlignment="1">
      <alignment horizontal="center" vertical="center" wrapText="1"/>
    </xf>
    <xf numFmtId="0" fontId="35" fillId="31" borderId="60" xfId="2" applyFont="1" applyFill="1" applyBorder="1" applyAlignment="1">
      <alignment horizontal="center" vertical="center" wrapText="1"/>
    </xf>
    <xf numFmtId="0" fontId="35" fillId="31" borderId="56" xfId="2" applyFont="1" applyFill="1" applyBorder="1" applyAlignment="1">
      <alignment horizontal="center" vertical="center" wrapText="1"/>
    </xf>
    <xf numFmtId="0" fontId="13" fillId="31" borderId="61" xfId="2" applyFont="1" applyFill="1" applyBorder="1" applyAlignment="1">
      <alignment horizontal="center" vertical="center"/>
    </xf>
    <xf numFmtId="0" fontId="13" fillId="31" borderId="115" xfId="2" applyFont="1" applyFill="1" applyBorder="1" applyAlignment="1">
      <alignment horizontal="center" vertical="center"/>
    </xf>
    <xf numFmtId="0" fontId="35" fillId="31" borderId="111" xfId="2" applyFont="1" applyFill="1" applyBorder="1" applyAlignment="1">
      <alignment horizontal="center" vertical="center" wrapText="1"/>
    </xf>
    <xf numFmtId="0" fontId="35" fillId="31" borderId="112" xfId="2" applyFont="1" applyFill="1" applyBorder="1" applyAlignment="1">
      <alignment horizontal="center" vertical="center" wrapText="1"/>
    </xf>
    <xf numFmtId="0" fontId="35" fillId="31" borderId="113" xfId="2" applyFont="1" applyFill="1" applyBorder="1" applyAlignment="1">
      <alignment horizontal="center" vertical="center" wrapText="1"/>
    </xf>
    <xf numFmtId="41" fontId="14" fillId="0" borderId="74" xfId="2" applyNumberFormat="1" applyFont="1" applyFill="1" applyBorder="1" applyAlignment="1">
      <alignment horizontal="center" vertical="center" wrapText="1"/>
    </xf>
    <xf numFmtId="41" fontId="14" fillId="0" borderId="71" xfId="2" applyNumberFormat="1" applyFont="1" applyFill="1" applyBorder="1" applyAlignment="1">
      <alignment horizontal="center" vertical="center" wrapText="1"/>
    </xf>
    <xf numFmtId="41" fontId="14" fillId="0" borderId="143" xfId="2" applyNumberFormat="1" applyFont="1" applyFill="1" applyBorder="1" applyAlignment="1">
      <alignment horizontal="center" vertical="center" wrapText="1"/>
    </xf>
    <xf numFmtId="41" fontId="35" fillId="0" borderId="1" xfId="2" applyNumberFormat="1" applyFont="1" applyFill="1" applyBorder="1" applyAlignment="1">
      <alignment horizontal="center" vertical="center"/>
    </xf>
    <xf numFmtId="41" fontId="35" fillId="0" borderId="75" xfId="2" applyNumberFormat="1" applyFont="1" applyFill="1" applyBorder="1" applyAlignment="1">
      <alignment horizontal="center" vertical="center"/>
    </xf>
    <xf numFmtId="41" fontId="35" fillId="0" borderId="72" xfId="2" applyNumberFormat="1" applyFont="1" applyFill="1" applyBorder="1" applyAlignment="1">
      <alignment horizontal="center" vertical="center"/>
    </xf>
    <xf numFmtId="41" fontId="35" fillId="0" borderId="2" xfId="2" applyNumberFormat="1" applyFont="1" applyFill="1" applyBorder="1" applyAlignment="1">
      <alignment horizontal="center" vertical="center"/>
    </xf>
    <xf numFmtId="41" fontId="35" fillId="0" borderId="76" xfId="2" applyNumberFormat="1" applyFont="1" applyFill="1" applyBorder="1" applyAlignment="1">
      <alignment horizontal="center" vertical="center"/>
    </xf>
    <xf numFmtId="41" fontId="35" fillId="0" borderId="144" xfId="2" applyNumberFormat="1" applyFont="1" applyFill="1" applyBorder="1" applyAlignment="1">
      <alignment horizontal="center" vertical="center"/>
    </xf>
    <xf numFmtId="41" fontId="14" fillId="35" borderId="74" xfId="2" applyNumberFormat="1" applyFont="1" applyFill="1" applyBorder="1" applyAlignment="1">
      <alignment horizontal="center" vertical="center"/>
    </xf>
    <xf numFmtId="41" fontId="14" fillId="35" borderId="71" xfId="2" applyNumberFormat="1" applyFont="1" applyFill="1" applyBorder="1" applyAlignment="1">
      <alignment horizontal="center" vertical="center"/>
    </xf>
    <xf numFmtId="41" fontId="14" fillId="35" borderId="143" xfId="2" applyNumberFormat="1" applyFont="1" applyFill="1" applyBorder="1" applyAlignment="1">
      <alignment horizontal="center" vertical="center"/>
    </xf>
    <xf numFmtId="41" fontId="12" fillId="0" borderId="59" xfId="2" applyNumberFormat="1" applyFont="1" applyFill="1" applyBorder="1" applyAlignment="1">
      <alignment horizontal="center" vertical="center" wrapText="1"/>
    </xf>
    <xf numFmtId="41" fontId="12" fillId="0" borderId="60" xfId="2" applyNumberFormat="1" applyFont="1" applyFill="1" applyBorder="1" applyAlignment="1">
      <alignment horizontal="center" vertical="center" wrapText="1"/>
    </xf>
    <xf numFmtId="41" fontId="12" fillId="0" borderId="56" xfId="2" applyNumberFormat="1" applyFont="1" applyFill="1" applyBorder="1" applyAlignment="1">
      <alignment horizontal="center" vertical="center" wrapText="1"/>
    </xf>
    <xf numFmtId="0" fontId="80" fillId="0" borderId="134" xfId="2" applyFont="1" applyBorder="1" applyAlignment="1">
      <alignment horizontal="center" vertical="center"/>
    </xf>
    <xf numFmtId="0" fontId="80" fillId="0" borderId="133" xfId="2" applyFont="1" applyBorder="1" applyAlignment="1">
      <alignment horizontal="center" vertical="center"/>
    </xf>
    <xf numFmtId="41" fontId="35" fillId="2" borderId="19" xfId="2" applyNumberFormat="1" applyFont="1" applyFill="1" applyBorder="1" applyAlignment="1">
      <alignment horizontal="center" vertical="center" wrapText="1"/>
    </xf>
    <xf numFmtId="41" fontId="35" fillId="2" borderId="21" xfId="2" applyNumberFormat="1" applyFont="1" applyFill="1" applyBorder="1" applyAlignment="1">
      <alignment horizontal="center" vertical="center" wrapText="1"/>
    </xf>
    <xf numFmtId="0" fontId="136" fillId="31" borderId="112" xfId="57" applyFill="1" applyBorder="1" applyAlignment="1">
      <alignment horizontal="center" vertical="center" wrapText="1"/>
    </xf>
    <xf numFmtId="0" fontId="136" fillId="31" borderId="113" xfId="57" applyFill="1" applyBorder="1" applyAlignment="1">
      <alignment horizontal="center" vertical="center" wrapText="1"/>
    </xf>
    <xf numFmtId="0" fontId="138" fillId="0" borderId="19" xfId="2" applyFont="1" applyBorder="1" applyAlignment="1">
      <alignment horizontal="center" vertical="center"/>
    </xf>
    <xf numFmtId="0" fontId="138" fillId="0" borderId="20" xfId="2" applyFont="1" applyBorder="1" applyAlignment="1">
      <alignment horizontal="center" vertical="center"/>
    </xf>
    <xf numFmtId="0" fontId="138" fillId="0" borderId="21" xfId="2" applyFont="1" applyBorder="1" applyAlignment="1">
      <alignment horizontal="center" vertical="center"/>
    </xf>
    <xf numFmtId="41" fontId="14" fillId="32" borderId="30" xfId="2" applyNumberFormat="1" applyFont="1" applyFill="1" applyBorder="1" applyAlignment="1">
      <alignment horizontal="left" vertical="center" wrapText="1"/>
    </xf>
    <xf numFmtId="41" fontId="14" fillId="32" borderId="18" xfId="2" applyNumberFormat="1" applyFont="1" applyFill="1" applyBorder="1" applyAlignment="1">
      <alignment horizontal="left" vertical="center" wrapText="1"/>
    </xf>
    <xf numFmtId="41" fontId="35" fillId="55" borderId="19" xfId="2" applyNumberFormat="1" applyFont="1" applyFill="1" applyBorder="1" applyAlignment="1">
      <alignment horizontal="center" vertical="center"/>
    </xf>
    <xf numFmtId="41" fontId="35" fillId="55" borderId="20" xfId="2" applyNumberFormat="1" applyFont="1" applyFill="1" applyBorder="1" applyAlignment="1">
      <alignment horizontal="center" vertical="center"/>
    </xf>
    <xf numFmtId="41" fontId="35" fillId="55" borderId="21" xfId="2" applyNumberFormat="1" applyFont="1" applyFill="1" applyBorder="1" applyAlignment="1">
      <alignment horizontal="center" vertical="center"/>
    </xf>
    <xf numFmtId="41" fontId="35" fillId="32" borderId="19" xfId="2" applyNumberFormat="1" applyFont="1" applyFill="1" applyBorder="1" applyAlignment="1">
      <alignment horizontal="center" vertical="center"/>
    </xf>
    <xf numFmtId="41" fontId="35" fillId="32" borderId="20" xfId="2" applyNumberFormat="1" applyFont="1" applyFill="1" applyBorder="1" applyAlignment="1">
      <alignment horizontal="center" vertical="center"/>
    </xf>
    <xf numFmtId="41" fontId="35" fillId="32" borderId="21" xfId="2" applyNumberFormat="1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/>
    </xf>
    <xf numFmtId="0" fontId="14" fillId="42" borderId="19" xfId="2" applyFont="1" applyFill="1" applyBorder="1" applyAlignment="1">
      <alignment horizontal="center" vertical="center"/>
    </xf>
    <xf numFmtId="0" fontId="14" fillId="42" borderId="21" xfId="2" applyFont="1" applyFill="1" applyBorder="1" applyAlignment="1">
      <alignment horizontal="center" vertical="center"/>
    </xf>
    <xf numFmtId="172" fontId="13" fillId="42" borderId="3" xfId="2" applyNumberFormat="1" applyFont="1" applyFill="1" applyBorder="1" applyAlignment="1">
      <alignment horizontal="center" vertical="center" wrapText="1"/>
    </xf>
    <xf numFmtId="0" fontId="12" fillId="31" borderId="59" xfId="2" applyFont="1" applyFill="1" applyBorder="1" applyAlignment="1">
      <alignment horizontal="center" vertical="center"/>
    </xf>
    <xf numFmtId="0" fontId="12" fillId="31" borderId="56" xfId="2" applyFont="1" applyFill="1" applyBorder="1" applyAlignment="1">
      <alignment horizontal="center" vertical="center"/>
    </xf>
    <xf numFmtId="0" fontId="12" fillId="31" borderId="20" xfId="2" applyFont="1" applyFill="1" applyBorder="1" applyAlignment="1">
      <alignment horizontal="center" vertical="center"/>
    </xf>
    <xf numFmtId="0" fontId="12" fillId="31" borderId="21" xfId="2" applyFont="1" applyFill="1" applyBorder="1" applyAlignment="1">
      <alignment horizontal="center" vertical="center"/>
    </xf>
    <xf numFmtId="0" fontId="136" fillId="31" borderId="111" xfId="57" applyFill="1" applyBorder="1" applyAlignment="1">
      <alignment horizontal="center" vertical="center" wrapText="1"/>
    </xf>
    <xf numFmtId="0" fontId="139" fillId="2" borderId="20" xfId="2" applyFont="1" applyFill="1" applyBorder="1" applyAlignment="1">
      <alignment horizontal="center" vertical="center"/>
    </xf>
    <xf numFmtId="0" fontId="139" fillId="2" borderId="21" xfId="2" applyFont="1" applyFill="1" applyBorder="1" applyAlignment="1">
      <alignment horizontal="center" vertical="center"/>
    </xf>
    <xf numFmtId="0" fontId="79" fillId="2" borderId="0" xfId="2" applyFont="1" applyFill="1" applyBorder="1" applyAlignment="1">
      <alignment horizontal="center" vertical="center" wrapText="1"/>
    </xf>
    <xf numFmtId="0" fontId="14" fillId="31" borderId="135" xfId="2" applyFont="1" applyFill="1" applyBorder="1" applyAlignment="1">
      <alignment horizontal="center" vertical="center" wrapText="1"/>
    </xf>
    <xf numFmtId="0" fontId="14" fillId="31" borderId="136" xfId="2" applyFont="1" applyFill="1" applyBorder="1" applyAlignment="1">
      <alignment horizontal="center" vertical="center" wrapText="1"/>
    </xf>
    <xf numFmtId="0" fontId="14" fillId="31" borderId="137" xfId="2" applyFont="1" applyFill="1" applyBorder="1" applyAlignment="1">
      <alignment horizontal="center" vertical="center" wrapText="1"/>
    </xf>
    <xf numFmtId="0" fontId="14" fillId="31" borderId="138" xfId="2" applyFont="1" applyFill="1" applyBorder="1" applyAlignment="1">
      <alignment horizontal="center" vertical="center" wrapText="1"/>
    </xf>
    <xf numFmtId="0" fontId="14" fillId="31" borderId="134" xfId="2" applyFont="1" applyFill="1" applyBorder="1" applyAlignment="1">
      <alignment horizontal="center" vertical="center" wrapText="1"/>
    </xf>
    <xf numFmtId="0" fontId="14" fillId="31" borderId="139" xfId="2" applyFont="1" applyFill="1" applyBorder="1" applyAlignment="1">
      <alignment horizontal="center" vertical="center" wrapText="1"/>
    </xf>
    <xf numFmtId="0" fontId="12" fillId="42" borderId="19" xfId="2" applyFont="1" applyFill="1" applyBorder="1" applyAlignment="1">
      <alignment horizontal="center" vertical="center"/>
    </xf>
    <xf numFmtId="0" fontId="12" fillId="42" borderId="20" xfId="2" applyFont="1" applyFill="1" applyBorder="1" applyAlignment="1">
      <alignment horizontal="center" vertical="center"/>
    </xf>
    <xf numFmtId="0" fontId="12" fillId="42" borderId="21" xfId="2" applyFont="1" applyFill="1" applyBorder="1" applyAlignment="1">
      <alignment horizontal="center" vertical="center"/>
    </xf>
    <xf numFmtId="0" fontId="14" fillId="31" borderId="61" xfId="2" applyFont="1" applyFill="1" applyBorder="1" applyAlignment="1">
      <alignment horizontal="center" vertical="center"/>
    </xf>
    <xf numFmtId="0" fontId="14" fillId="31" borderId="115" xfId="2" applyFont="1" applyFill="1" applyBorder="1" applyAlignment="1">
      <alignment horizontal="center" vertical="center"/>
    </xf>
    <xf numFmtId="0" fontId="12" fillId="31" borderId="62" xfId="2" applyFont="1" applyFill="1" applyBorder="1" applyAlignment="1">
      <alignment horizontal="center" vertical="center" wrapText="1"/>
    </xf>
    <xf numFmtId="0" fontId="12" fillId="31" borderId="63" xfId="2" applyFont="1" applyFill="1" applyBorder="1" applyAlignment="1">
      <alignment horizontal="center" vertical="center"/>
    </xf>
    <xf numFmtId="0" fontId="12" fillId="31" borderId="64" xfId="2" applyFont="1" applyFill="1" applyBorder="1" applyAlignment="1">
      <alignment horizontal="center" vertical="center"/>
    </xf>
    <xf numFmtId="0" fontId="12" fillId="31" borderId="63" xfId="2" applyFont="1" applyFill="1" applyBorder="1" applyAlignment="1">
      <alignment horizontal="center" vertical="center" wrapText="1"/>
    </xf>
    <xf numFmtId="0" fontId="12" fillId="31" borderId="64" xfId="2" applyFont="1" applyFill="1" applyBorder="1" applyAlignment="1">
      <alignment horizontal="center" vertical="center" wrapText="1"/>
    </xf>
    <xf numFmtId="0" fontId="12" fillId="31" borderId="116" xfId="2" applyFont="1" applyFill="1" applyBorder="1" applyAlignment="1">
      <alignment horizontal="center" vertical="center"/>
    </xf>
    <xf numFmtId="0" fontId="12" fillId="31" borderId="117" xfId="2" applyFont="1" applyFill="1" applyBorder="1" applyAlignment="1">
      <alignment horizontal="center" vertical="center"/>
    </xf>
    <xf numFmtId="0" fontId="143" fillId="0" borderId="19" xfId="2" applyFont="1" applyBorder="1" applyAlignment="1">
      <alignment horizontal="center" vertical="center"/>
    </xf>
    <xf numFmtId="0" fontId="143" fillId="0" borderId="20" xfId="2" applyFont="1" applyBorder="1" applyAlignment="1">
      <alignment horizontal="center" vertical="center"/>
    </xf>
    <xf numFmtId="0" fontId="143" fillId="0" borderId="21" xfId="2" applyFont="1" applyBorder="1" applyAlignment="1">
      <alignment horizontal="center" vertical="center"/>
    </xf>
    <xf numFmtId="0" fontId="141" fillId="2" borderId="0" xfId="2" applyFont="1" applyFill="1" applyBorder="1" applyAlignment="1">
      <alignment horizontal="center" vertical="center" wrapText="1"/>
    </xf>
    <xf numFmtId="0" fontId="14" fillId="31" borderId="27" xfId="2" applyFont="1" applyFill="1" applyBorder="1" applyAlignment="1">
      <alignment horizontal="center" vertical="center" wrapText="1"/>
    </xf>
    <xf numFmtId="0" fontId="14" fillId="31" borderId="28" xfId="2" applyFont="1" applyFill="1" applyBorder="1" applyAlignment="1">
      <alignment horizontal="center" vertical="center" wrapText="1"/>
    </xf>
    <xf numFmtId="0" fontId="14" fillId="31" borderId="29" xfId="2" applyFont="1" applyFill="1" applyBorder="1" applyAlignment="1">
      <alignment horizontal="center" vertical="center" wrapText="1"/>
    </xf>
    <xf numFmtId="0" fontId="14" fillId="31" borderId="110" xfId="2" applyFont="1" applyFill="1" applyBorder="1" applyAlignment="1">
      <alignment horizontal="center" vertical="center" wrapText="1"/>
    </xf>
    <xf numFmtId="0" fontId="14" fillId="31" borderId="30" xfId="2" applyFont="1" applyFill="1" applyBorder="1" applyAlignment="1">
      <alignment horizontal="center" vertical="center" wrapText="1"/>
    </xf>
    <xf numFmtId="0" fontId="14" fillId="31" borderId="114" xfId="2" applyFont="1" applyFill="1" applyBorder="1" applyAlignment="1">
      <alignment horizontal="center" vertical="center" wrapText="1"/>
    </xf>
    <xf numFmtId="0" fontId="14" fillId="31" borderId="141" xfId="2" applyFont="1" applyFill="1" applyBorder="1" applyAlignment="1">
      <alignment horizontal="center" vertical="center"/>
    </xf>
    <xf numFmtId="0" fontId="12" fillId="31" borderId="65" xfId="2" applyFont="1" applyFill="1" applyBorder="1" applyAlignment="1">
      <alignment horizontal="center" vertical="center" wrapText="1"/>
    </xf>
    <xf numFmtId="0" fontId="142" fillId="0" borderId="19" xfId="2" applyFont="1" applyBorder="1" applyAlignment="1">
      <alignment horizontal="center" vertical="center"/>
    </xf>
    <xf numFmtId="0" fontId="142" fillId="0" borderId="20" xfId="2" applyFont="1" applyBorder="1" applyAlignment="1">
      <alignment horizontal="center" vertical="center"/>
    </xf>
    <xf numFmtId="0" fontId="142" fillId="0" borderId="21" xfId="2" applyFont="1" applyBorder="1" applyAlignment="1">
      <alignment horizontal="center" vertical="center"/>
    </xf>
    <xf numFmtId="41" fontId="14" fillId="32" borderId="3" xfId="2" applyNumberFormat="1" applyFont="1" applyFill="1" applyBorder="1" applyAlignment="1">
      <alignment horizontal="left" vertical="center" wrapText="1"/>
    </xf>
    <xf numFmtId="164" fontId="8" fillId="0" borderId="0" xfId="1" applyNumberFormat="1" applyFont="1" applyBorder="1" applyAlignment="1">
      <alignment horizontal="center" vertical="center"/>
    </xf>
    <xf numFmtId="41" fontId="35" fillId="2" borderId="3" xfId="2" applyNumberFormat="1" applyFont="1" applyFill="1" applyBorder="1" applyAlignment="1">
      <alignment horizontal="center" vertical="center" wrapText="1"/>
    </xf>
    <xf numFmtId="41" fontId="35" fillId="3" borderId="19" xfId="2" applyNumberFormat="1" applyFont="1" applyFill="1" applyBorder="1" applyAlignment="1">
      <alignment horizontal="center" vertical="center" wrapText="1"/>
    </xf>
    <xf numFmtId="41" fontId="35" fillId="3" borderId="21" xfId="2" applyNumberFormat="1" applyFont="1" applyFill="1" applyBorder="1" applyAlignment="1">
      <alignment horizontal="center" vertical="center" wrapText="1"/>
    </xf>
    <xf numFmtId="41" fontId="14" fillId="3" borderId="19" xfId="2" applyNumberFormat="1" applyFont="1" applyFill="1" applyBorder="1" applyAlignment="1">
      <alignment horizontal="left" vertical="center" wrapText="1"/>
    </xf>
    <xf numFmtId="41" fontId="14" fillId="3" borderId="20" xfId="2" applyNumberFormat="1" applyFont="1" applyFill="1" applyBorder="1" applyAlignment="1">
      <alignment horizontal="left" vertical="center" wrapText="1"/>
    </xf>
    <xf numFmtId="41" fontId="14" fillId="3" borderId="21" xfId="2" applyNumberFormat="1" applyFont="1" applyFill="1" applyBorder="1" applyAlignment="1">
      <alignment horizontal="left" vertical="center" wrapText="1"/>
    </xf>
    <xf numFmtId="0" fontId="150" fillId="31" borderId="59" xfId="2" applyFont="1" applyFill="1" applyBorder="1" applyAlignment="1">
      <alignment horizontal="center" vertical="center" wrapText="1"/>
    </xf>
    <xf numFmtId="0" fontId="150" fillId="31" borderId="60" xfId="2" applyFont="1" applyFill="1" applyBorder="1" applyAlignment="1">
      <alignment horizontal="center" vertical="center" wrapText="1"/>
    </xf>
    <xf numFmtId="0" fontId="150" fillId="31" borderId="56" xfId="2" applyFont="1" applyFill="1" applyBorder="1" applyAlignment="1">
      <alignment horizontal="center" vertical="center" wrapText="1"/>
    </xf>
    <xf numFmtId="41" fontId="35" fillId="42" borderId="19" xfId="2" applyNumberFormat="1" applyFont="1" applyFill="1" applyBorder="1" applyAlignment="1" applyProtection="1">
      <alignment horizontal="center" vertical="center" wrapText="1"/>
      <protection locked="0"/>
    </xf>
    <xf numFmtId="41" fontId="35" fillId="42" borderId="21" xfId="2" applyNumberFormat="1" applyFont="1" applyFill="1" applyBorder="1" applyAlignment="1" applyProtection="1">
      <alignment horizontal="center" vertical="center" wrapText="1"/>
      <protection locked="0"/>
    </xf>
    <xf numFmtId="0" fontId="158" fillId="31" borderId="60" xfId="2" applyFont="1" applyFill="1" applyBorder="1" applyAlignment="1">
      <alignment horizontal="center" wrapText="1"/>
    </xf>
    <xf numFmtId="0" fontId="158" fillId="31" borderId="56" xfId="2" applyFont="1" applyFill="1" applyBorder="1" applyAlignment="1">
      <alignment horizontal="center" wrapText="1"/>
    </xf>
    <xf numFmtId="0" fontId="152" fillId="31" borderId="3" xfId="2" applyFont="1" applyFill="1" applyBorder="1" applyAlignment="1">
      <alignment horizontal="center" vertical="center" wrapText="1"/>
    </xf>
    <xf numFmtId="0" fontId="8" fillId="31" borderId="27" xfId="2" applyFont="1" applyFill="1" applyBorder="1" applyAlignment="1">
      <alignment horizontal="center" vertical="center" wrapText="1"/>
    </xf>
    <xf numFmtId="0" fontId="8" fillId="31" borderId="28" xfId="2" applyFont="1" applyFill="1" applyBorder="1" applyAlignment="1">
      <alignment horizontal="center" vertical="center" wrapText="1"/>
    </xf>
    <xf numFmtId="0" fontId="8" fillId="31" borderId="29" xfId="2" applyFont="1" applyFill="1" applyBorder="1" applyAlignment="1">
      <alignment horizontal="center" vertical="center" wrapText="1"/>
    </xf>
    <xf numFmtId="0" fontId="8" fillId="31" borderId="110" xfId="2" applyFont="1" applyFill="1" applyBorder="1" applyAlignment="1">
      <alignment horizontal="center" vertical="center" wrapText="1"/>
    </xf>
    <xf numFmtId="0" fontId="8" fillId="31" borderId="30" xfId="2" applyFont="1" applyFill="1" applyBorder="1" applyAlignment="1">
      <alignment horizontal="center" vertical="center" wrapText="1"/>
    </xf>
    <xf numFmtId="0" fontId="8" fillId="31" borderId="114" xfId="2" applyFont="1" applyFill="1" applyBorder="1" applyAlignment="1">
      <alignment horizontal="center" vertical="center" wrapText="1"/>
    </xf>
    <xf numFmtId="0" fontId="150" fillId="31" borderId="27" xfId="2" applyFont="1" applyFill="1" applyBorder="1" applyAlignment="1">
      <alignment horizontal="center" vertical="center" wrapText="1"/>
    </xf>
    <xf numFmtId="0" fontId="150" fillId="31" borderId="29" xfId="2" applyFont="1" applyFill="1" applyBorder="1" applyAlignment="1">
      <alignment horizontal="center" vertical="center" wrapText="1"/>
    </xf>
    <xf numFmtId="0" fontId="77" fillId="0" borderId="128" xfId="2" applyFont="1" applyBorder="1" applyAlignment="1">
      <alignment horizontal="right" vertical="top"/>
    </xf>
    <xf numFmtId="0" fontId="77" fillId="0" borderId="129" xfId="2" applyFont="1" applyBorder="1" applyAlignment="1">
      <alignment horizontal="right" vertical="top"/>
    </xf>
    <xf numFmtId="41" fontId="35" fillId="42" borderId="3" xfId="2" applyNumberFormat="1" applyFont="1" applyFill="1" applyBorder="1" applyAlignment="1" applyProtection="1">
      <alignment horizontal="center" vertical="center" wrapText="1"/>
      <protection locked="0"/>
    </xf>
    <xf numFmtId="0" fontId="53" fillId="3" borderId="0" xfId="2" applyFont="1" applyFill="1" applyBorder="1" applyAlignment="1">
      <alignment horizontal="center" wrapText="1"/>
    </xf>
    <xf numFmtId="41" fontId="14" fillId="32" borderId="19" xfId="2" applyNumberFormat="1" applyFont="1" applyFill="1" applyBorder="1" applyAlignment="1" applyProtection="1">
      <alignment horizontal="left" vertical="center" wrapText="1"/>
      <protection locked="0"/>
    </xf>
    <xf numFmtId="41" fontId="14" fillId="32" borderId="20" xfId="2" applyNumberFormat="1" applyFont="1" applyFill="1" applyBorder="1" applyAlignment="1" applyProtection="1">
      <alignment horizontal="left" vertical="center" wrapText="1"/>
      <protection locked="0"/>
    </xf>
    <xf numFmtId="41" fontId="14" fillId="32" borderId="21" xfId="2" applyNumberFormat="1" applyFont="1" applyFill="1" applyBorder="1" applyAlignment="1" applyProtection="1">
      <alignment horizontal="left" vertical="center" wrapText="1"/>
      <protection locked="0"/>
    </xf>
    <xf numFmtId="41" fontId="12" fillId="32" borderId="19" xfId="2" applyNumberFormat="1" applyFont="1" applyFill="1" applyBorder="1" applyAlignment="1" applyProtection="1">
      <alignment wrapText="1"/>
      <protection locked="0"/>
    </xf>
    <xf numFmtId="41" fontId="12" fillId="32" borderId="20" xfId="2" applyNumberFormat="1" applyFont="1" applyFill="1" applyBorder="1" applyAlignment="1" applyProtection="1">
      <alignment wrapText="1"/>
      <protection locked="0"/>
    </xf>
    <xf numFmtId="0" fontId="152" fillId="31" borderId="19" xfId="2" applyFont="1" applyFill="1" applyBorder="1" applyAlignment="1">
      <alignment horizontal="center" vertical="center" wrapText="1"/>
    </xf>
    <xf numFmtId="0" fontId="152" fillId="31" borderId="21" xfId="2" applyFont="1" applyFill="1" applyBorder="1" applyAlignment="1">
      <alignment horizontal="center" vertical="center" wrapText="1"/>
    </xf>
    <xf numFmtId="0" fontId="152" fillId="31" borderId="3" xfId="2" applyFont="1" applyFill="1" applyBorder="1" applyAlignment="1">
      <alignment horizontal="left" textRotation="45" wrapText="1"/>
    </xf>
    <xf numFmtId="41" fontId="14" fillId="41" borderId="3" xfId="2" applyNumberFormat="1" applyFont="1" applyFill="1" applyBorder="1" applyAlignment="1" applyProtection="1">
      <alignment horizontal="center" vertical="center" wrapText="1"/>
      <protection locked="0"/>
    </xf>
    <xf numFmtId="41" fontId="35" fillId="41" borderId="19" xfId="2" applyNumberFormat="1" applyFont="1" applyFill="1" applyBorder="1" applyAlignment="1" applyProtection="1">
      <alignment horizontal="center" vertical="center" wrapText="1"/>
      <protection locked="0"/>
    </xf>
    <xf numFmtId="41" fontId="35" fillId="41" borderId="21" xfId="2" applyNumberFormat="1" applyFont="1" applyFill="1" applyBorder="1" applyAlignment="1" applyProtection="1">
      <alignment horizontal="center" vertical="center" wrapText="1"/>
      <protection locked="0"/>
    </xf>
    <xf numFmtId="41" fontId="12" fillId="32" borderId="19" xfId="2" applyNumberFormat="1" applyFont="1" applyFill="1" applyBorder="1" applyAlignment="1" applyProtection="1">
      <alignment horizontal="left" vertical="center" wrapText="1"/>
      <protection locked="0"/>
    </xf>
    <xf numFmtId="41" fontId="12" fillId="32" borderId="20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45" xfId="2" applyFont="1" applyBorder="1" applyAlignment="1">
      <alignment horizontal="center" vertical="center"/>
    </xf>
    <xf numFmtId="0" fontId="12" fillId="0" borderId="25" xfId="2" applyFont="1" applyBorder="1" applyAlignment="1" applyProtection="1">
      <alignment horizontal="left" vertical="center"/>
      <protection locked="0"/>
    </xf>
    <xf numFmtId="0" fontId="12" fillId="0" borderId="26" xfId="2" applyFont="1" applyBorder="1" applyAlignment="1" applyProtection="1">
      <alignment horizontal="left" vertical="center"/>
      <protection locked="0"/>
    </xf>
    <xf numFmtId="0" fontId="12" fillId="0" borderId="108" xfId="2" applyFont="1" applyBorder="1" applyAlignment="1" applyProtection="1">
      <alignment horizontal="left" vertical="center"/>
      <protection locked="0"/>
    </xf>
    <xf numFmtId="0" fontId="12" fillId="0" borderId="25" xfId="2" applyFont="1" applyBorder="1" applyAlignment="1" applyProtection="1">
      <alignment vertical="center"/>
      <protection locked="0"/>
    </xf>
    <xf numFmtId="0" fontId="12" fillId="0" borderId="26" xfId="2" applyFont="1" applyBorder="1" applyAlignment="1" applyProtection="1">
      <alignment vertical="center"/>
      <protection locked="0"/>
    </xf>
    <xf numFmtId="0" fontId="12" fillId="0" borderId="108" xfId="2" applyFont="1" applyBorder="1" applyAlignment="1" applyProtection="1">
      <alignment vertical="center"/>
      <protection locked="0"/>
    </xf>
    <xf numFmtId="0" fontId="20" fillId="0" borderId="34" xfId="2" applyFont="1" applyBorder="1" applyAlignment="1" applyProtection="1">
      <alignment horizontal="left" vertical="center"/>
      <protection locked="0"/>
    </xf>
    <xf numFmtId="0" fontId="20" fillId="0" borderId="35" xfId="2" applyFont="1" applyBorder="1" applyAlignment="1" applyProtection="1">
      <alignment horizontal="left" vertical="center"/>
      <protection locked="0"/>
    </xf>
    <xf numFmtId="0" fontId="20" fillId="0" borderId="77" xfId="2" applyFont="1" applyBorder="1" applyAlignment="1" applyProtection="1">
      <alignment horizontal="left" vertical="center"/>
      <protection locked="0"/>
    </xf>
    <xf numFmtId="0" fontId="20" fillId="0" borderId="25" xfId="2" applyFont="1" applyBorder="1" applyAlignment="1" applyProtection="1">
      <alignment horizontal="left" vertical="center"/>
      <protection locked="0"/>
    </xf>
    <xf numFmtId="0" fontId="20" fillId="0" borderId="26" xfId="2" applyFont="1" applyBorder="1" applyAlignment="1" applyProtection="1">
      <alignment horizontal="left" vertical="center"/>
      <protection locked="0"/>
    </xf>
    <xf numFmtId="0" fontId="20" fillId="0" borderId="108" xfId="2" applyFont="1" applyBorder="1" applyAlignment="1" applyProtection="1">
      <alignment horizontal="left" vertical="center"/>
      <protection locked="0"/>
    </xf>
    <xf numFmtId="0" fontId="20" fillId="0" borderId="73" xfId="2" applyFont="1" applyBorder="1" applyAlignment="1" applyProtection="1">
      <alignment horizontal="center" vertical="center"/>
      <protection locked="0"/>
    </xf>
    <xf numFmtId="0" fontId="20" fillId="0" borderId="58" xfId="2" applyFont="1" applyBorder="1" applyAlignment="1" applyProtection="1">
      <alignment horizontal="center" vertical="center"/>
      <protection locked="0"/>
    </xf>
    <xf numFmtId="0" fontId="20" fillId="0" borderId="109" xfId="2" applyFont="1" applyBorder="1" applyAlignment="1" applyProtection="1">
      <alignment horizontal="center" vertical="center"/>
      <protection locked="0"/>
    </xf>
    <xf numFmtId="0" fontId="12" fillId="41" borderId="3" xfId="2" applyFont="1" applyFill="1" applyBorder="1" applyAlignment="1">
      <alignment horizontal="center" vertical="center" wrapText="1"/>
    </xf>
    <xf numFmtId="165" fontId="20" fillId="0" borderId="120" xfId="30" applyNumberFormat="1" applyFont="1" applyBorder="1" applyAlignment="1" applyProtection="1">
      <alignment horizontal="center" vertical="center"/>
      <protection locked="0"/>
    </xf>
    <xf numFmtId="165" fontId="20" fillId="0" borderId="26" xfId="30" applyNumberFormat="1" applyFont="1" applyBorder="1" applyAlignment="1" applyProtection="1">
      <alignment horizontal="center" vertical="center"/>
      <protection locked="0"/>
    </xf>
    <xf numFmtId="165" fontId="20" fillId="0" borderId="108" xfId="30" applyNumberFormat="1" applyFont="1" applyBorder="1" applyAlignment="1" applyProtection="1">
      <alignment horizontal="center" vertical="center"/>
      <protection locked="0"/>
    </xf>
    <xf numFmtId="0" fontId="12" fillId="41" borderId="19" xfId="2" applyFont="1" applyFill="1" applyBorder="1" applyAlignment="1">
      <alignment horizontal="center" vertical="center" wrapText="1"/>
    </xf>
    <xf numFmtId="0" fontId="12" fillId="41" borderId="20" xfId="2" applyFont="1" applyFill="1" applyBorder="1" applyAlignment="1">
      <alignment horizontal="center" vertical="center" wrapText="1"/>
    </xf>
    <xf numFmtId="0" fontId="12" fillId="41" borderId="21" xfId="2" applyFont="1" applyFill="1" applyBorder="1" applyAlignment="1">
      <alignment horizontal="center" vertical="center" wrapText="1"/>
    </xf>
    <xf numFmtId="0" fontId="53" fillId="2" borderId="0" xfId="2" applyFont="1" applyFill="1" applyBorder="1" applyAlignment="1">
      <alignment horizontal="center" vertical="center" wrapText="1"/>
    </xf>
    <xf numFmtId="0" fontId="12" fillId="41" borderId="59" xfId="2" applyFont="1" applyFill="1" applyBorder="1" applyAlignment="1">
      <alignment horizontal="center" vertical="center" wrapText="1"/>
    </xf>
    <xf numFmtId="0" fontId="12" fillId="41" borderId="56" xfId="2" applyFont="1" applyFill="1" applyBorder="1" applyAlignment="1">
      <alignment horizontal="center" vertical="center" wrapText="1"/>
    </xf>
    <xf numFmtId="0" fontId="20" fillId="0" borderId="22" xfId="2" applyFont="1" applyBorder="1" applyAlignment="1" applyProtection="1">
      <alignment horizontal="center" vertical="center"/>
      <protection locked="0"/>
    </xf>
    <xf numFmtId="0" fontId="20" fillId="0" borderId="23" xfId="2" applyFont="1" applyBorder="1" applyAlignment="1" applyProtection="1">
      <alignment horizontal="center" vertical="center"/>
      <protection locked="0"/>
    </xf>
    <xf numFmtId="0" fontId="20" fillId="0" borderId="24" xfId="2" applyFont="1" applyBorder="1" applyAlignment="1" applyProtection="1">
      <alignment horizontal="center" vertical="center"/>
      <protection locked="0"/>
    </xf>
    <xf numFmtId="165" fontId="20" fillId="0" borderId="121" xfId="30" applyNumberFormat="1" applyFont="1" applyBorder="1" applyAlignment="1" applyProtection="1">
      <alignment horizontal="center" vertical="center"/>
      <protection locked="0"/>
    </xf>
    <xf numFmtId="165" fontId="20" fillId="0" borderId="38" xfId="30" applyNumberFormat="1" applyFont="1" applyBorder="1" applyAlignment="1" applyProtection="1">
      <alignment horizontal="center" vertical="center"/>
      <protection locked="0"/>
    </xf>
    <xf numFmtId="165" fontId="20" fillId="0" borderId="55" xfId="30" applyNumberFormat="1" applyFont="1" applyBorder="1" applyAlignment="1" applyProtection="1">
      <alignment horizontal="center" vertical="center"/>
      <protection locked="0"/>
    </xf>
    <xf numFmtId="0" fontId="12" fillId="41" borderId="27" xfId="2" quotePrefix="1" applyFont="1" applyFill="1" applyBorder="1" applyAlignment="1">
      <alignment horizontal="center" vertical="center" wrapText="1"/>
    </xf>
    <xf numFmtId="0" fontId="12" fillId="41" borderId="45" xfId="2" quotePrefix="1" applyFont="1" applyFill="1" applyBorder="1" applyAlignment="1">
      <alignment horizontal="center" vertical="center" wrapText="1"/>
    </xf>
    <xf numFmtId="0" fontId="12" fillId="41" borderId="28" xfId="2" quotePrefix="1" applyFont="1" applyFill="1" applyBorder="1" applyAlignment="1">
      <alignment horizontal="center" vertical="center" wrapText="1"/>
    </xf>
    <xf numFmtId="0" fontId="12" fillId="41" borderId="27" xfId="2" applyFont="1" applyFill="1" applyBorder="1" applyAlignment="1">
      <alignment horizontal="center" vertical="center" wrapText="1"/>
    </xf>
    <xf numFmtId="0" fontId="12" fillId="41" borderId="45" xfId="2" applyFont="1" applyFill="1" applyBorder="1" applyAlignment="1">
      <alignment horizontal="center" vertical="center" wrapText="1"/>
    </xf>
    <xf numFmtId="0" fontId="12" fillId="41" borderId="28" xfId="2" applyFont="1" applyFill="1" applyBorder="1" applyAlignment="1">
      <alignment horizontal="center" vertical="center" wrapText="1"/>
    </xf>
    <xf numFmtId="0" fontId="12" fillId="41" borderId="30" xfId="2" applyFont="1" applyFill="1" applyBorder="1" applyAlignment="1">
      <alignment horizontal="center" vertical="center" wrapText="1"/>
    </xf>
    <xf numFmtId="0" fontId="12" fillId="41" borderId="18" xfId="2" applyFont="1" applyFill="1" applyBorder="1" applyAlignment="1">
      <alignment horizontal="center" vertical="center" wrapText="1"/>
    </xf>
    <xf numFmtId="0" fontId="12" fillId="41" borderId="114" xfId="2" applyFont="1" applyFill="1" applyBorder="1" applyAlignment="1">
      <alignment horizontal="center" vertical="center" wrapText="1"/>
    </xf>
    <xf numFmtId="165" fontId="20" fillId="0" borderId="119" xfId="30" applyNumberFormat="1" applyFont="1" applyBorder="1" applyAlignment="1" applyProtection="1">
      <alignment horizontal="center" vertical="center"/>
      <protection locked="0"/>
    </xf>
    <xf numFmtId="165" fontId="20" fillId="0" borderId="35" xfId="30" applyNumberFormat="1" applyFont="1" applyBorder="1" applyAlignment="1" applyProtection="1">
      <alignment horizontal="center" vertical="center"/>
      <protection locked="0"/>
    </xf>
    <xf numFmtId="165" fontId="20" fillId="0" borderId="77" xfId="30" applyNumberFormat="1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108" xfId="2" applyFont="1" applyBorder="1" applyAlignment="1" applyProtection="1">
      <alignment horizontal="center" vertical="center"/>
      <protection locked="0"/>
    </xf>
    <xf numFmtId="0" fontId="130" fillId="2" borderId="0" xfId="2" applyFont="1" applyFill="1" applyBorder="1" applyAlignment="1">
      <alignment horizontal="center" wrapText="1"/>
    </xf>
    <xf numFmtId="0" fontId="12" fillId="0" borderId="45" xfId="2" applyFont="1" applyBorder="1" applyAlignment="1">
      <alignment horizontal="right" vertical="center"/>
    </xf>
    <xf numFmtId="0" fontId="12" fillId="41" borderId="3" xfId="2" applyFont="1" applyFill="1" applyBorder="1" applyAlignment="1">
      <alignment horizontal="center" vertical="center"/>
    </xf>
    <xf numFmtId="0" fontId="8" fillId="41" borderId="19" xfId="2" quotePrefix="1" applyFont="1" applyFill="1" applyBorder="1" applyAlignment="1">
      <alignment horizontal="center" vertical="center" wrapText="1"/>
    </xf>
    <xf numFmtId="0" fontId="8" fillId="41" borderId="21" xfId="2" applyFont="1" applyFill="1" applyBorder="1" applyAlignment="1">
      <alignment horizontal="center" vertical="center" wrapText="1"/>
    </xf>
    <xf numFmtId="0" fontId="8" fillId="41" borderId="59" xfId="2" applyFont="1" applyFill="1" applyBorder="1" applyAlignment="1">
      <alignment horizontal="center" vertical="center" wrapText="1"/>
    </xf>
    <xf numFmtId="0" fontId="8" fillId="41" borderId="56" xfId="2" applyFont="1" applyFill="1" applyBorder="1" applyAlignment="1">
      <alignment horizontal="center" vertical="center" wrapText="1"/>
    </xf>
    <xf numFmtId="0" fontId="8" fillId="41" borderId="3" xfId="2" applyFont="1" applyFill="1" applyBorder="1" applyAlignment="1">
      <alignment horizontal="center" vertical="center" wrapText="1"/>
    </xf>
    <xf numFmtId="0" fontId="48" fillId="2" borderId="0" xfId="2" applyFont="1" applyFill="1" applyAlignment="1">
      <alignment horizontal="center" vertical="top"/>
    </xf>
    <xf numFmtId="0" fontId="35" fillId="2" borderId="0" xfId="2" applyFont="1" applyFill="1" applyAlignment="1">
      <alignment horizontal="center" vertical="center"/>
    </xf>
    <xf numFmtId="0" fontId="73" fillId="2" borderId="0" xfId="2" applyFont="1" applyFill="1" applyAlignment="1">
      <alignment horizontal="center" vertical="center"/>
    </xf>
    <xf numFmtId="0" fontId="42" fillId="2" borderId="18" xfId="2" applyFont="1" applyFill="1" applyBorder="1" applyAlignment="1">
      <alignment horizontal="left" vertical="center"/>
    </xf>
    <xf numFmtId="0" fontId="42" fillId="2" borderId="20" xfId="2" applyFont="1" applyFill="1" applyBorder="1" applyAlignment="1">
      <alignment horizontal="left" vertical="center"/>
    </xf>
    <xf numFmtId="0" fontId="12" fillId="31" borderId="112" xfId="2" applyFont="1" applyFill="1" applyBorder="1" applyAlignment="1">
      <alignment horizontal="center" vertical="center" wrapText="1"/>
    </xf>
    <xf numFmtId="0" fontId="47" fillId="2" borderId="0" xfId="2" applyFont="1" applyFill="1" applyBorder="1" applyAlignment="1">
      <alignment horizontal="left" vertical="center" wrapText="1"/>
    </xf>
    <xf numFmtId="0" fontId="41" fillId="2" borderId="0" xfId="2" applyFont="1" applyFill="1" applyBorder="1" applyAlignment="1">
      <alignment horizontal="left" vertical="center" wrapText="1"/>
    </xf>
    <xf numFmtId="0" fontId="87" fillId="0" borderId="45" xfId="0" applyFont="1" applyBorder="1" applyAlignment="1">
      <alignment horizontal="center" vertical="top"/>
    </xf>
    <xf numFmtId="0" fontId="20" fillId="0" borderId="59" xfId="2" applyFont="1" applyBorder="1" applyAlignment="1">
      <alignment horizontal="left" vertical="center" wrapText="1"/>
    </xf>
    <xf numFmtId="0" fontId="20" fillId="0" borderId="60" xfId="2" applyFont="1" applyBorder="1" applyAlignment="1">
      <alignment horizontal="left" vertical="center" wrapText="1"/>
    </xf>
    <xf numFmtId="0" fontId="20" fillId="0" borderId="56" xfId="2" applyFont="1" applyBorder="1" applyAlignment="1">
      <alignment horizontal="left" vertical="center" wrapText="1"/>
    </xf>
    <xf numFmtId="0" fontId="8" fillId="0" borderId="45" xfId="2" applyFont="1" applyBorder="1" applyAlignment="1">
      <alignment horizontal="left" vertical="center" wrapText="1"/>
    </xf>
    <xf numFmtId="0" fontId="20" fillId="0" borderId="0" xfId="2" applyFont="1" applyBorder="1" applyAlignment="1">
      <alignment horizontal="left" vertical="center" wrapText="1"/>
    </xf>
    <xf numFmtId="0" fontId="12" fillId="34" borderId="3" xfId="2" applyFont="1" applyFill="1" applyBorder="1" applyAlignment="1">
      <alignment horizontal="center" vertical="center" wrapText="1"/>
    </xf>
    <xf numFmtId="0" fontId="74" fillId="48" borderId="3" xfId="2" applyFont="1" applyFill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8" fillId="0" borderId="78" xfId="2" applyFont="1" applyBorder="1" applyAlignment="1">
      <alignment horizontal="justify" vertical="center" wrapText="1"/>
    </xf>
    <xf numFmtId="0" fontId="20" fillId="0" borderId="84" xfId="2" applyFont="1" applyBorder="1" applyAlignment="1">
      <alignment horizontal="justify" vertical="center" wrapText="1"/>
    </xf>
    <xf numFmtId="0" fontId="20" fillId="0" borderId="78" xfId="2" applyFont="1" applyBorder="1" applyAlignment="1">
      <alignment horizontal="justify" vertical="center" wrapText="1"/>
    </xf>
    <xf numFmtId="0" fontId="20" fillId="0" borderId="85" xfId="2" applyFont="1" applyBorder="1" applyAlignment="1">
      <alignment horizontal="justify" vertical="center" wrapText="1"/>
    </xf>
    <xf numFmtId="0" fontId="20" fillId="0" borderId="91" xfId="2" applyFont="1" applyBorder="1" applyAlignment="1">
      <alignment horizontal="justify" vertical="center" wrapText="1"/>
    </xf>
    <xf numFmtId="0" fontId="35" fillId="0" borderId="0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justify" vertical="center" wrapText="1"/>
    </xf>
    <xf numFmtId="0" fontId="20" fillId="0" borderId="3" xfId="2" applyFont="1" applyBorder="1" applyAlignment="1">
      <alignment horizontal="justify" vertical="center" wrapText="1"/>
    </xf>
    <xf numFmtId="0" fontId="20" fillId="0" borderId="45" xfId="2" applyFont="1" applyFill="1" applyBorder="1" applyAlignment="1">
      <alignment horizontal="left" vertical="center" wrapText="1"/>
    </xf>
    <xf numFmtId="0" fontId="20" fillId="0" borderId="18" xfId="2" applyFont="1" applyFill="1" applyBorder="1" applyAlignment="1">
      <alignment horizontal="left" vertical="center" wrapText="1"/>
    </xf>
    <xf numFmtId="0" fontId="20" fillId="0" borderId="18" xfId="2" applyFont="1" applyBorder="1" applyAlignment="1">
      <alignment horizontal="left" vertical="center" wrapText="1"/>
    </xf>
    <xf numFmtId="0" fontId="8" fillId="0" borderId="27" xfId="2" applyFont="1" applyBorder="1" applyAlignment="1">
      <alignment horizontal="left" vertical="center" wrapText="1"/>
    </xf>
    <xf numFmtId="0" fontId="20" fillId="0" borderId="30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center" vertical="center" wrapText="1"/>
    </xf>
    <xf numFmtId="0" fontId="12" fillId="0" borderId="114" xfId="2" applyFont="1" applyBorder="1" applyAlignment="1">
      <alignment horizontal="center" vertical="center" wrapText="1"/>
    </xf>
    <xf numFmtId="0" fontId="45" fillId="0" borderId="149" xfId="2" applyFont="1" applyFill="1" applyBorder="1" applyAlignment="1">
      <alignment horizontal="center" vertical="center" wrapText="1"/>
    </xf>
    <xf numFmtId="0" fontId="45" fillId="0" borderId="148" xfId="2" applyFont="1" applyFill="1" applyBorder="1" applyAlignment="1">
      <alignment horizontal="center" vertical="center" wrapText="1"/>
    </xf>
    <xf numFmtId="0" fontId="45" fillId="0" borderId="150" xfId="2" applyFont="1" applyFill="1" applyBorder="1" applyAlignment="1">
      <alignment horizontal="center" vertical="center" wrapText="1"/>
    </xf>
    <xf numFmtId="0" fontId="135" fillId="0" borderId="0" xfId="2" applyFont="1" applyBorder="1" applyAlignment="1">
      <alignment horizontal="left" vertical="center" wrapText="1"/>
    </xf>
    <xf numFmtId="0" fontId="12" fillId="35" borderId="59" xfId="2" applyFont="1" applyFill="1" applyBorder="1" applyAlignment="1">
      <alignment horizontal="center" vertical="center" wrapText="1"/>
    </xf>
    <xf numFmtId="0" fontId="12" fillId="35" borderId="56" xfId="2" applyFont="1" applyFill="1" applyBorder="1" applyAlignment="1">
      <alignment horizontal="center" vertical="center" wrapText="1"/>
    </xf>
    <xf numFmtId="0" fontId="12" fillId="35" borderId="59" xfId="2" applyFont="1" applyFill="1" applyBorder="1" applyAlignment="1">
      <alignment horizontal="center" vertical="center"/>
    </xf>
    <xf numFmtId="0" fontId="12" fillId="35" borderId="56" xfId="2" applyFont="1" applyFill="1" applyBorder="1" applyAlignment="1">
      <alignment horizontal="center" vertical="center"/>
    </xf>
    <xf numFmtId="0" fontId="12" fillId="35" borderId="27" xfId="2" applyFont="1" applyFill="1" applyBorder="1" applyAlignment="1">
      <alignment horizontal="center" vertical="center" wrapText="1"/>
    </xf>
    <xf numFmtId="0" fontId="12" fillId="35" borderId="45" xfId="2" applyFont="1" applyFill="1" applyBorder="1" applyAlignment="1">
      <alignment horizontal="center" vertical="center" wrapText="1"/>
    </xf>
    <xf numFmtId="0" fontId="12" fillId="35" borderId="28" xfId="2" applyFont="1" applyFill="1" applyBorder="1" applyAlignment="1">
      <alignment horizontal="center" vertical="center" wrapText="1"/>
    </xf>
    <xf numFmtId="0" fontId="12" fillId="32" borderId="34" xfId="2" applyFont="1" applyFill="1" applyBorder="1" applyAlignment="1">
      <alignment vertical="center"/>
    </xf>
    <xf numFmtId="0" fontId="12" fillId="32" borderId="35" xfId="2" applyFont="1" applyFill="1" applyBorder="1" applyAlignment="1">
      <alignment vertical="center"/>
    </xf>
    <xf numFmtId="0" fontId="12" fillId="32" borderId="77" xfId="2" applyFont="1" applyFill="1" applyBorder="1" applyAlignment="1">
      <alignment vertical="center"/>
    </xf>
    <xf numFmtId="0" fontId="9" fillId="2" borderId="0" xfId="2" applyFont="1" applyFill="1" applyAlignment="1">
      <alignment horizontal="right"/>
    </xf>
    <xf numFmtId="0" fontId="104" fillId="2" borderId="0" xfId="2" applyFont="1" applyFill="1" applyAlignment="1">
      <alignment horizontal="center" wrapText="1"/>
    </xf>
    <xf numFmtId="0" fontId="104" fillId="2" borderId="0" xfId="2" applyFont="1" applyFill="1" applyAlignment="1">
      <alignment horizontal="center"/>
    </xf>
    <xf numFmtId="0" fontId="13" fillId="2" borderId="0" xfId="2" applyFont="1" applyFill="1" applyBorder="1" applyAlignment="1">
      <alignment horizontal="left"/>
    </xf>
    <xf numFmtId="0" fontId="43" fillId="2" borderId="18" xfId="2" applyFont="1" applyFill="1" applyBorder="1" applyAlignment="1">
      <alignment horizontal="right"/>
    </xf>
    <xf numFmtId="0" fontId="38" fillId="31" borderId="2" xfId="2" applyFont="1" applyFill="1" applyBorder="1" applyAlignment="1">
      <alignment horizontal="center" vertical="top" wrapText="1"/>
    </xf>
    <xf numFmtId="0" fontId="38" fillId="31" borderId="76" xfId="2" applyFont="1" applyFill="1" applyBorder="1" applyAlignment="1">
      <alignment horizontal="center" vertical="top" wrapText="1"/>
    </xf>
    <xf numFmtId="0" fontId="12" fillId="0" borderId="41" xfId="2" applyFont="1" applyBorder="1" applyAlignment="1">
      <alignment horizontal="center" vertical="center" wrapText="1"/>
    </xf>
    <xf numFmtId="0" fontId="12" fillId="0" borderId="42" xfId="2" applyFont="1" applyBorder="1" applyAlignment="1">
      <alignment horizontal="center" vertical="center" wrapText="1"/>
    </xf>
    <xf numFmtId="0" fontId="12" fillId="32" borderId="19" xfId="2" applyFont="1" applyFill="1" applyBorder="1" applyAlignment="1">
      <alignment vertical="center"/>
    </xf>
    <xf numFmtId="0" fontId="12" fillId="32" borderId="20" xfId="2" applyFont="1" applyFill="1" applyBorder="1" applyAlignment="1">
      <alignment vertical="center"/>
    </xf>
    <xf numFmtId="0" fontId="12" fillId="32" borderId="21" xfId="2" applyFont="1" applyFill="1" applyBorder="1" applyAlignment="1">
      <alignment vertical="center"/>
    </xf>
    <xf numFmtId="0" fontId="50" fillId="2" borderId="45" xfId="2" applyFont="1" applyFill="1" applyBorder="1" applyAlignment="1">
      <alignment wrapText="1"/>
    </xf>
    <xf numFmtId="0" fontId="43" fillId="2" borderId="45" xfId="2" applyFont="1" applyFill="1" applyBorder="1" applyAlignment="1">
      <alignment wrapText="1"/>
    </xf>
    <xf numFmtId="0" fontId="12" fillId="0" borderId="19" xfId="2" applyFont="1" applyBorder="1" applyAlignment="1">
      <alignment horizontal="center" vertical="center" wrapText="1"/>
    </xf>
    <xf numFmtId="0" fontId="12" fillId="0" borderId="44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44" fillId="53" borderId="19" xfId="58" applyFont="1" applyFill="1" applyBorder="1" applyAlignment="1">
      <alignment horizontal="center" vertical="center" wrapText="1"/>
    </xf>
    <xf numFmtId="0" fontId="144" fillId="53" borderId="20" xfId="58" applyFont="1" applyFill="1" applyBorder="1" applyAlignment="1">
      <alignment horizontal="center" vertical="center"/>
    </xf>
    <xf numFmtId="0" fontId="144" fillId="53" borderId="21" xfId="58" applyFont="1" applyFill="1" applyBorder="1" applyAlignment="1">
      <alignment horizontal="center" vertical="center"/>
    </xf>
    <xf numFmtId="0" fontId="145" fillId="53" borderId="59" xfId="58" applyFont="1" applyFill="1" applyBorder="1" applyAlignment="1">
      <alignment horizontal="center" vertical="center" textRotation="90"/>
    </xf>
    <xf numFmtId="0" fontId="145" fillId="53" borderId="60" xfId="58" applyFont="1" applyFill="1" applyBorder="1" applyAlignment="1">
      <alignment horizontal="center" vertical="center" textRotation="90"/>
    </xf>
  </cellXfs>
  <cellStyles count="63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0"/>
    <cellStyle name="Comma 2 2" xfId="5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57" builtinId="8"/>
    <cellStyle name="Input 2" xfId="37"/>
    <cellStyle name="Linked Cell 2" xfId="38"/>
    <cellStyle name="Neutral 2" xfId="39"/>
    <cellStyle name="Normal" xfId="0" builtinId="0"/>
    <cellStyle name="Normal 2" xfId="40"/>
    <cellStyle name="Normal 2 2" xfId="55"/>
    <cellStyle name="Normal 2 3" xfId="60"/>
    <cellStyle name="Normal 2 3 2" xfId="61"/>
    <cellStyle name="Normal 3" xfId="41"/>
    <cellStyle name="Normal 3 10" xfId="62"/>
    <cellStyle name="Normal 3 2" xfId="53"/>
    <cellStyle name="Normal 4" xfId="2"/>
    <cellStyle name="Normal 4 2" xfId="48"/>
    <cellStyle name="Normal 4 2 2" xfId="54"/>
    <cellStyle name="Normal 5" xfId="51"/>
    <cellStyle name="Normal 6" xfId="52"/>
    <cellStyle name="Normal 7" xfId="56"/>
    <cellStyle name="Normal 8" xfId="58"/>
    <cellStyle name="Normal_Book1" xfId="50"/>
    <cellStyle name="Note 2" xfId="42"/>
    <cellStyle name="Output 2" xfId="43"/>
    <cellStyle name="Percent" xfId="49" builtinId="5"/>
    <cellStyle name="Percent 2" xfId="44"/>
    <cellStyle name="Title 2" xfId="45"/>
    <cellStyle name="Total 2" xfId="46"/>
    <cellStyle name="Warning Text 2" xfId="47"/>
  </cellStyles>
  <dxfs count="0"/>
  <tableStyles count="0" defaultTableStyle="TableStyleMedium2" defaultPivotStyle="PivotStyleLight16"/>
  <colors>
    <mruColors>
      <color rgb="FFFFFFCC"/>
      <color rgb="FFFFCCFF"/>
      <color rgb="FFCCFFCC"/>
      <color rgb="FF85FB99"/>
      <color rgb="FF81FFC0"/>
      <color rgb="FFFFDF79"/>
      <color rgb="FFF8D87C"/>
      <color rgb="FFCC9900"/>
      <color rgb="FF00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5" dropStyle="combo" dx="16" fmlaRange="#REF!" sel="0" val="0"/>
</file>

<file path=xl/ctrlProps/ctrlProp2.xml><?xml version="1.0" encoding="utf-8"?>
<formControlPr xmlns="http://schemas.microsoft.com/office/spreadsheetml/2009/9/main" objectType="Drop" dropLines="5" dropStyle="combo" dx="16" fmlaRange="$W$10:$W$11" sel="2" val="0"/>
</file>

<file path=xl/ctrlProps/ctrlProp3.xml><?xml version="1.0" encoding="utf-8"?>
<formControlPr xmlns="http://schemas.microsoft.com/office/spreadsheetml/2009/9/main" objectType="Drop" dropLines="5" dropStyle="combo" dx="16" fmlaRange="#REF!" sel="0" val="0"/>
</file>

<file path=xl/ctrlProps/ctrlProp4.xml><?xml version="1.0" encoding="utf-8"?>
<formControlPr xmlns="http://schemas.microsoft.com/office/spreadsheetml/2009/9/main" objectType="Drop" dropLines="5" dropStyle="combo" dx="16" fmlaRange="#REF!" sel="0" val="0"/>
</file>

<file path=xl/ctrlProps/ctrlProp5.xml><?xml version="1.0" encoding="utf-8"?>
<formControlPr xmlns="http://schemas.microsoft.com/office/spreadsheetml/2009/9/main" objectType="Drop" dropLines="5" dropStyle="combo" dx="16" fmlaRange="#REF!" sel="0" val="0"/>
</file>

<file path=xl/ctrlProps/ctrlProp6.xml><?xml version="1.0" encoding="utf-8"?>
<formControlPr xmlns="http://schemas.microsoft.com/office/spreadsheetml/2009/9/main" objectType="Drop" dropLines="5" dropStyle="combo" dx="16" fmlaRange="$W$10:$W$11" sel="2" val="0"/>
</file>

<file path=xl/ctrlProps/ctrlProp7.xml><?xml version="1.0" encoding="utf-8"?>
<formControlPr xmlns="http://schemas.microsoft.com/office/spreadsheetml/2009/9/main" objectType="Drop" dropLines="5" dropStyle="combo" dx="16" fmlaRange="#REF!" sel="0" val="0"/>
</file>

<file path=xl/ctrlProps/ctrlProp8.xml><?xml version="1.0" encoding="utf-8"?>
<formControlPr xmlns="http://schemas.microsoft.com/office/spreadsheetml/2009/9/main" objectType="Drop" dropLines="5" dropStyle="combo" dx="16" fmlaRange="$W$10:$W$11" sel="2" val="0"/>
</file>

<file path=xl/ctrlProps/ctrlProp9.xml><?xml version="1.0" encoding="utf-8"?>
<formControlPr xmlns="http://schemas.microsoft.com/office/spreadsheetml/2009/9/main" objectType="Drop" dropLines="5" dropStyle="combo" dx="16" fmlaRange="#REF!" sel="0" val="0"/>
</file>

<file path=xl/ctrlProps/ctrlProp10.xml><?xml version="1.0" encoding="utf-8"?>
<formControlPr xmlns="http://schemas.microsoft.com/office/spreadsheetml/2009/9/main" objectType="Drop" dropLines="5" dropStyle="combo" dx="16" fmlaRange="#REF!" sel="0" val="0"/>
</file>

<file path=xl/ctrlProps/ctrlProp11.xml><?xml version="1.0" encoding="utf-8"?>
<formControlPr xmlns="http://schemas.microsoft.com/office/spreadsheetml/2009/9/main" objectType="Drop" dropLines="5" dropStyle="combo" dx="16" fmlaRange="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107 (a) (2)'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161925</xdr:rowOff>
    </xdr:from>
    <xdr:to>
      <xdr:col>1</xdr:col>
      <xdr:colOff>476250</xdr:colOff>
      <xdr:row>2</xdr:row>
      <xdr:rowOff>15442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2" y="161925"/>
          <a:ext cx="885823" cy="853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104775</xdr:rowOff>
    </xdr:from>
    <xdr:to>
      <xdr:col>8</xdr:col>
      <xdr:colOff>396875</xdr:colOff>
      <xdr:row>46</xdr:row>
      <xdr:rowOff>142875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1" y="104775"/>
          <a:ext cx="5165724" cy="880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EC%20BUDGET%202020-21\Budget-Proposal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101"/>
      <sheetName val="102(a)"/>
      <sheetName val="102(b)"/>
      <sheetName val="103"/>
      <sheetName val="104"/>
      <sheetName val="105"/>
      <sheetName val="School 103 104 105"/>
      <sheetName val="105(a)"/>
      <sheetName val="106"/>
      <sheetName val="106(a)"/>
      <sheetName val="Sheet1"/>
      <sheetName val="107"/>
      <sheetName val="107 (a)"/>
      <sheetName val="107(b)"/>
      <sheetName val="107 (c)"/>
      <sheetName val="107(d)"/>
      <sheetName val="107(e)"/>
      <sheetName val="108"/>
      <sheetName val="109"/>
      <sheetName val="110"/>
      <sheetName val="111"/>
      <sheetName val="112"/>
      <sheetName val="113"/>
      <sheetName val="Subject List"/>
      <sheetName val="PQF"/>
      <sheetName val="2020"/>
      <sheetName val="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5">
          <cell r="Y45">
            <v>2178.8540820000003</v>
          </cell>
        </row>
      </sheetData>
      <sheetData sheetId="23">
        <row r="45">
          <cell r="Y45">
            <v>2229.846372</v>
          </cell>
        </row>
      </sheetData>
      <sheetData sheetId="24"/>
      <sheetData sheetId="25"/>
      <sheetData sheetId="26">
        <row r="3">
          <cell r="E3">
            <v>336226860</v>
          </cell>
        </row>
      </sheetData>
      <sheetData sheetId="27">
        <row r="3">
          <cell r="E3">
            <v>326354460</v>
          </cell>
        </row>
        <row r="27">
          <cell r="AB27">
            <v>85376004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7" Type="http://schemas.openxmlformats.org/officeDocument/2006/relationships/ctrlProp" Target="../ctrlProps/ctrlProp8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C36"/>
  <sheetViews>
    <sheetView showGridLines="0" view="pageBreakPreview" topLeftCell="A5" zoomScaleSheetLayoutView="100" workbookViewId="0">
      <selection activeCell="A32" sqref="A32:C32"/>
    </sheetView>
  </sheetViews>
  <sheetFormatPr defaultColWidth="11.42578125" defaultRowHeight="15.75"/>
  <cols>
    <col min="1" max="1" width="7.28515625" style="448" customWidth="1"/>
    <col min="2" max="2" width="70" style="448" customWidth="1"/>
    <col min="3" max="3" width="13.42578125" style="448" bestFit="1" customWidth="1"/>
    <col min="4" max="256" width="11.42578125" style="448"/>
    <col min="257" max="257" width="7.28515625" style="448" customWidth="1"/>
    <col min="258" max="258" width="65.85546875" style="448" customWidth="1"/>
    <col min="259" max="259" width="9.140625" style="448" customWidth="1"/>
    <col min="260" max="512" width="11.42578125" style="448"/>
    <col min="513" max="513" width="7.28515625" style="448" customWidth="1"/>
    <col min="514" max="514" width="65.85546875" style="448" customWidth="1"/>
    <col min="515" max="515" width="9.140625" style="448" customWidth="1"/>
    <col min="516" max="768" width="11.42578125" style="448"/>
    <col min="769" max="769" width="7.28515625" style="448" customWidth="1"/>
    <col min="770" max="770" width="65.85546875" style="448" customWidth="1"/>
    <col min="771" max="771" width="9.140625" style="448" customWidth="1"/>
    <col min="772" max="1024" width="11.42578125" style="448"/>
    <col min="1025" max="1025" width="7.28515625" style="448" customWidth="1"/>
    <col min="1026" max="1026" width="65.85546875" style="448" customWidth="1"/>
    <col min="1027" max="1027" width="9.140625" style="448" customWidth="1"/>
    <col min="1028" max="1280" width="11.42578125" style="448"/>
    <col min="1281" max="1281" width="7.28515625" style="448" customWidth="1"/>
    <col min="1282" max="1282" width="65.85546875" style="448" customWidth="1"/>
    <col min="1283" max="1283" width="9.140625" style="448" customWidth="1"/>
    <col min="1284" max="1536" width="11.42578125" style="448"/>
    <col min="1537" max="1537" width="7.28515625" style="448" customWidth="1"/>
    <col min="1538" max="1538" width="65.85546875" style="448" customWidth="1"/>
    <col min="1539" max="1539" width="9.140625" style="448" customWidth="1"/>
    <col min="1540" max="1792" width="11.42578125" style="448"/>
    <col min="1793" max="1793" width="7.28515625" style="448" customWidth="1"/>
    <col min="1794" max="1794" width="65.85546875" style="448" customWidth="1"/>
    <col min="1795" max="1795" width="9.140625" style="448" customWidth="1"/>
    <col min="1796" max="2048" width="11.42578125" style="448"/>
    <col min="2049" max="2049" width="7.28515625" style="448" customWidth="1"/>
    <col min="2050" max="2050" width="65.85546875" style="448" customWidth="1"/>
    <col min="2051" max="2051" width="9.140625" style="448" customWidth="1"/>
    <col min="2052" max="2304" width="11.42578125" style="448"/>
    <col min="2305" max="2305" width="7.28515625" style="448" customWidth="1"/>
    <col min="2306" max="2306" width="65.85546875" style="448" customWidth="1"/>
    <col min="2307" max="2307" width="9.140625" style="448" customWidth="1"/>
    <col min="2308" max="2560" width="11.42578125" style="448"/>
    <col min="2561" max="2561" width="7.28515625" style="448" customWidth="1"/>
    <col min="2562" max="2562" width="65.85546875" style="448" customWidth="1"/>
    <col min="2563" max="2563" width="9.140625" style="448" customWidth="1"/>
    <col min="2564" max="2816" width="11.42578125" style="448"/>
    <col min="2817" max="2817" width="7.28515625" style="448" customWidth="1"/>
    <col min="2818" max="2818" width="65.85546875" style="448" customWidth="1"/>
    <col min="2819" max="2819" width="9.140625" style="448" customWidth="1"/>
    <col min="2820" max="3072" width="11.42578125" style="448"/>
    <col min="3073" max="3073" width="7.28515625" style="448" customWidth="1"/>
    <col min="3074" max="3074" width="65.85546875" style="448" customWidth="1"/>
    <col min="3075" max="3075" width="9.140625" style="448" customWidth="1"/>
    <col min="3076" max="3328" width="11.42578125" style="448"/>
    <col min="3329" max="3329" width="7.28515625" style="448" customWidth="1"/>
    <col min="3330" max="3330" width="65.85546875" style="448" customWidth="1"/>
    <col min="3331" max="3331" width="9.140625" style="448" customWidth="1"/>
    <col min="3332" max="3584" width="11.42578125" style="448"/>
    <col min="3585" max="3585" width="7.28515625" style="448" customWidth="1"/>
    <col min="3586" max="3586" width="65.85546875" style="448" customWidth="1"/>
    <col min="3587" max="3587" width="9.140625" style="448" customWidth="1"/>
    <col min="3588" max="3840" width="11.42578125" style="448"/>
    <col min="3841" max="3841" width="7.28515625" style="448" customWidth="1"/>
    <col min="3842" max="3842" width="65.85546875" style="448" customWidth="1"/>
    <col min="3843" max="3843" width="9.140625" style="448" customWidth="1"/>
    <col min="3844" max="4096" width="11.42578125" style="448"/>
    <col min="4097" max="4097" width="7.28515625" style="448" customWidth="1"/>
    <col min="4098" max="4098" width="65.85546875" style="448" customWidth="1"/>
    <col min="4099" max="4099" width="9.140625" style="448" customWidth="1"/>
    <col min="4100" max="4352" width="11.42578125" style="448"/>
    <col min="4353" max="4353" width="7.28515625" style="448" customWidth="1"/>
    <col min="4354" max="4354" width="65.85546875" style="448" customWidth="1"/>
    <col min="4355" max="4355" width="9.140625" style="448" customWidth="1"/>
    <col min="4356" max="4608" width="11.42578125" style="448"/>
    <col min="4609" max="4609" width="7.28515625" style="448" customWidth="1"/>
    <col min="4610" max="4610" width="65.85546875" style="448" customWidth="1"/>
    <col min="4611" max="4611" width="9.140625" style="448" customWidth="1"/>
    <col min="4612" max="4864" width="11.42578125" style="448"/>
    <col min="4865" max="4865" width="7.28515625" style="448" customWidth="1"/>
    <col min="4866" max="4866" width="65.85546875" style="448" customWidth="1"/>
    <col min="4867" max="4867" width="9.140625" style="448" customWidth="1"/>
    <col min="4868" max="5120" width="11.42578125" style="448"/>
    <col min="5121" max="5121" width="7.28515625" style="448" customWidth="1"/>
    <col min="5122" max="5122" width="65.85546875" style="448" customWidth="1"/>
    <col min="5123" max="5123" width="9.140625" style="448" customWidth="1"/>
    <col min="5124" max="5376" width="11.42578125" style="448"/>
    <col min="5377" max="5377" width="7.28515625" style="448" customWidth="1"/>
    <col min="5378" max="5378" width="65.85546875" style="448" customWidth="1"/>
    <col min="5379" max="5379" width="9.140625" style="448" customWidth="1"/>
    <col min="5380" max="5632" width="11.42578125" style="448"/>
    <col min="5633" max="5633" width="7.28515625" style="448" customWidth="1"/>
    <col min="5634" max="5634" width="65.85546875" style="448" customWidth="1"/>
    <col min="5635" max="5635" width="9.140625" style="448" customWidth="1"/>
    <col min="5636" max="5888" width="11.42578125" style="448"/>
    <col min="5889" max="5889" width="7.28515625" style="448" customWidth="1"/>
    <col min="5890" max="5890" width="65.85546875" style="448" customWidth="1"/>
    <col min="5891" max="5891" width="9.140625" style="448" customWidth="1"/>
    <col min="5892" max="6144" width="11.42578125" style="448"/>
    <col min="6145" max="6145" width="7.28515625" style="448" customWidth="1"/>
    <col min="6146" max="6146" width="65.85546875" style="448" customWidth="1"/>
    <col min="6147" max="6147" width="9.140625" style="448" customWidth="1"/>
    <col min="6148" max="6400" width="11.42578125" style="448"/>
    <col min="6401" max="6401" width="7.28515625" style="448" customWidth="1"/>
    <col min="6402" max="6402" width="65.85546875" style="448" customWidth="1"/>
    <col min="6403" max="6403" width="9.140625" style="448" customWidth="1"/>
    <col min="6404" max="6656" width="11.42578125" style="448"/>
    <col min="6657" max="6657" width="7.28515625" style="448" customWidth="1"/>
    <col min="6658" max="6658" width="65.85546875" style="448" customWidth="1"/>
    <col min="6659" max="6659" width="9.140625" style="448" customWidth="1"/>
    <col min="6660" max="6912" width="11.42578125" style="448"/>
    <col min="6913" max="6913" width="7.28515625" style="448" customWidth="1"/>
    <col min="6914" max="6914" width="65.85546875" style="448" customWidth="1"/>
    <col min="6915" max="6915" width="9.140625" style="448" customWidth="1"/>
    <col min="6916" max="7168" width="11.42578125" style="448"/>
    <col min="7169" max="7169" width="7.28515625" style="448" customWidth="1"/>
    <col min="7170" max="7170" width="65.85546875" style="448" customWidth="1"/>
    <col min="7171" max="7171" width="9.140625" style="448" customWidth="1"/>
    <col min="7172" max="7424" width="11.42578125" style="448"/>
    <col min="7425" max="7425" width="7.28515625" style="448" customWidth="1"/>
    <col min="7426" max="7426" width="65.85546875" style="448" customWidth="1"/>
    <col min="7427" max="7427" width="9.140625" style="448" customWidth="1"/>
    <col min="7428" max="7680" width="11.42578125" style="448"/>
    <col min="7681" max="7681" width="7.28515625" style="448" customWidth="1"/>
    <col min="7682" max="7682" width="65.85546875" style="448" customWidth="1"/>
    <col min="7683" max="7683" width="9.140625" style="448" customWidth="1"/>
    <col min="7684" max="7936" width="11.42578125" style="448"/>
    <col min="7937" max="7937" width="7.28515625" style="448" customWidth="1"/>
    <col min="7938" max="7938" width="65.85546875" style="448" customWidth="1"/>
    <col min="7939" max="7939" width="9.140625" style="448" customWidth="1"/>
    <col min="7940" max="8192" width="11.42578125" style="448"/>
    <col min="8193" max="8193" width="7.28515625" style="448" customWidth="1"/>
    <col min="8194" max="8194" width="65.85546875" style="448" customWidth="1"/>
    <col min="8195" max="8195" width="9.140625" style="448" customWidth="1"/>
    <col min="8196" max="8448" width="11.42578125" style="448"/>
    <col min="8449" max="8449" width="7.28515625" style="448" customWidth="1"/>
    <col min="8450" max="8450" width="65.85546875" style="448" customWidth="1"/>
    <col min="8451" max="8451" width="9.140625" style="448" customWidth="1"/>
    <col min="8452" max="8704" width="11.42578125" style="448"/>
    <col min="8705" max="8705" width="7.28515625" style="448" customWidth="1"/>
    <col min="8706" max="8706" width="65.85546875" style="448" customWidth="1"/>
    <col min="8707" max="8707" width="9.140625" style="448" customWidth="1"/>
    <col min="8708" max="8960" width="11.42578125" style="448"/>
    <col min="8961" max="8961" width="7.28515625" style="448" customWidth="1"/>
    <col min="8962" max="8962" width="65.85546875" style="448" customWidth="1"/>
    <col min="8963" max="8963" width="9.140625" style="448" customWidth="1"/>
    <col min="8964" max="9216" width="11.42578125" style="448"/>
    <col min="9217" max="9217" width="7.28515625" style="448" customWidth="1"/>
    <col min="9218" max="9218" width="65.85546875" style="448" customWidth="1"/>
    <col min="9219" max="9219" width="9.140625" style="448" customWidth="1"/>
    <col min="9220" max="9472" width="11.42578125" style="448"/>
    <col min="9473" max="9473" width="7.28515625" style="448" customWidth="1"/>
    <col min="9474" max="9474" width="65.85546875" style="448" customWidth="1"/>
    <col min="9475" max="9475" width="9.140625" style="448" customWidth="1"/>
    <col min="9476" max="9728" width="11.42578125" style="448"/>
    <col min="9729" max="9729" width="7.28515625" style="448" customWidth="1"/>
    <col min="9730" max="9730" width="65.85546875" style="448" customWidth="1"/>
    <col min="9731" max="9731" width="9.140625" style="448" customWidth="1"/>
    <col min="9732" max="9984" width="11.42578125" style="448"/>
    <col min="9985" max="9985" width="7.28515625" style="448" customWidth="1"/>
    <col min="9986" max="9986" width="65.85546875" style="448" customWidth="1"/>
    <col min="9987" max="9987" width="9.140625" style="448" customWidth="1"/>
    <col min="9988" max="10240" width="11.42578125" style="448"/>
    <col min="10241" max="10241" width="7.28515625" style="448" customWidth="1"/>
    <col min="10242" max="10242" width="65.85546875" style="448" customWidth="1"/>
    <col min="10243" max="10243" width="9.140625" style="448" customWidth="1"/>
    <col min="10244" max="10496" width="11.42578125" style="448"/>
    <col min="10497" max="10497" width="7.28515625" style="448" customWidth="1"/>
    <col min="10498" max="10498" width="65.85546875" style="448" customWidth="1"/>
    <col min="10499" max="10499" width="9.140625" style="448" customWidth="1"/>
    <col min="10500" max="10752" width="11.42578125" style="448"/>
    <col min="10753" max="10753" width="7.28515625" style="448" customWidth="1"/>
    <col min="10754" max="10754" width="65.85546875" style="448" customWidth="1"/>
    <col min="10755" max="10755" width="9.140625" style="448" customWidth="1"/>
    <col min="10756" max="11008" width="11.42578125" style="448"/>
    <col min="11009" max="11009" width="7.28515625" style="448" customWidth="1"/>
    <col min="11010" max="11010" width="65.85546875" style="448" customWidth="1"/>
    <col min="11011" max="11011" width="9.140625" style="448" customWidth="1"/>
    <col min="11012" max="11264" width="11.42578125" style="448"/>
    <col min="11265" max="11265" width="7.28515625" style="448" customWidth="1"/>
    <col min="11266" max="11266" width="65.85546875" style="448" customWidth="1"/>
    <col min="11267" max="11267" width="9.140625" style="448" customWidth="1"/>
    <col min="11268" max="11520" width="11.42578125" style="448"/>
    <col min="11521" max="11521" width="7.28515625" style="448" customWidth="1"/>
    <col min="11522" max="11522" width="65.85546875" style="448" customWidth="1"/>
    <col min="11523" max="11523" width="9.140625" style="448" customWidth="1"/>
    <col min="11524" max="11776" width="11.42578125" style="448"/>
    <col min="11777" max="11777" width="7.28515625" style="448" customWidth="1"/>
    <col min="11778" max="11778" width="65.85546875" style="448" customWidth="1"/>
    <col min="11779" max="11779" width="9.140625" style="448" customWidth="1"/>
    <col min="11780" max="12032" width="11.42578125" style="448"/>
    <col min="12033" max="12033" width="7.28515625" style="448" customWidth="1"/>
    <col min="12034" max="12034" width="65.85546875" style="448" customWidth="1"/>
    <col min="12035" max="12035" width="9.140625" style="448" customWidth="1"/>
    <col min="12036" max="12288" width="11.42578125" style="448"/>
    <col min="12289" max="12289" width="7.28515625" style="448" customWidth="1"/>
    <col min="12290" max="12290" width="65.85546875" style="448" customWidth="1"/>
    <col min="12291" max="12291" width="9.140625" style="448" customWidth="1"/>
    <col min="12292" max="12544" width="11.42578125" style="448"/>
    <col min="12545" max="12545" width="7.28515625" style="448" customWidth="1"/>
    <col min="12546" max="12546" width="65.85546875" style="448" customWidth="1"/>
    <col min="12547" max="12547" width="9.140625" style="448" customWidth="1"/>
    <col min="12548" max="12800" width="11.42578125" style="448"/>
    <col min="12801" max="12801" width="7.28515625" style="448" customWidth="1"/>
    <col min="12802" max="12802" width="65.85546875" style="448" customWidth="1"/>
    <col min="12803" max="12803" width="9.140625" style="448" customWidth="1"/>
    <col min="12804" max="13056" width="11.42578125" style="448"/>
    <col min="13057" max="13057" width="7.28515625" style="448" customWidth="1"/>
    <col min="13058" max="13058" width="65.85546875" style="448" customWidth="1"/>
    <col min="13059" max="13059" width="9.140625" style="448" customWidth="1"/>
    <col min="13060" max="13312" width="11.42578125" style="448"/>
    <col min="13313" max="13313" width="7.28515625" style="448" customWidth="1"/>
    <col min="13314" max="13314" width="65.85546875" style="448" customWidth="1"/>
    <col min="13315" max="13315" width="9.140625" style="448" customWidth="1"/>
    <col min="13316" max="13568" width="11.42578125" style="448"/>
    <col min="13569" max="13569" width="7.28515625" style="448" customWidth="1"/>
    <col min="13570" max="13570" width="65.85546875" style="448" customWidth="1"/>
    <col min="13571" max="13571" width="9.140625" style="448" customWidth="1"/>
    <col min="13572" max="13824" width="11.42578125" style="448"/>
    <col min="13825" max="13825" width="7.28515625" style="448" customWidth="1"/>
    <col min="13826" max="13826" width="65.85546875" style="448" customWidth="1"/>
    <col min="13827" max="13827" width="9.140625" style="448" customWidth="1"/>
    <col min="13828" max="14080" width="11.42578125" style="448"/>
    <col min="14081" max="14081" width="7.28515625" style="448" customWidth="1"/>
    <col min="14082" max="14082" width="65.85546875" style="448" customWidth="1"/>
    <col min="14083" max="14083" width="9.140625" style="448" customWidth="1"/>
    <col min="14084" max="14336" width="11.42578125" style="448"/>
    <col min="14337" max="14337" width="7.28515625" style="448" customWidth="1"/>
    <col min="14338" max="14338" width="65.85546875" style="448" customWidth="1"/>
    <col min="14339" max="14339" width="9.140625" style="448" customWidth="1"/>
    <col min="14340" max="14592" width="11.42578125" style="448"/>
    <col min="14593" max="14593" width="7.28515625" style="448" customWidth="1"/>
    <col min="14594" max="14594" width="65.85546875" style="448" customWidth="1"/>
    <col min="14595" max="14595" width="9.140625" style="448" customWidth="1"/>
    <col min="14596" max="14848" width="11.42578125" style="448"/>
    <col min="14849" max="14849" width="7.28515625" style="448" customWidth="1"/>
    <col min="14850" max="14850" width="65.85546875" style="448" customWidth="1"/>
    <col min="14851" max="14851" width="9.140625" style="448" customWidth="1"/>
    <col min="14852" max="15104" width="11.42578125" style="448"/>
    <col min="15105" max="15105" width="7.28515625" style="448" customWidth="1"/>
    <col min="15106" max="15106" width="65.85546875" style="448" customWidth="1"/>
    <col min="15107" max="15107" width="9.140625" style="448" customWidth="1"/>
    <col min="15108" max="15360" width="11.42578125" style="448"/>
    <col min="15361" max="15361" width="7.28515625" style="448" customWidth="1"/>
    <col min="15362" max="15362" width="65.85546875" style="448" customWidth="1"/>
    <col min="15363" max="15363" width="9.140625" style="448" customWidth="1"/>
    <col min="15364" max="15616" width="11.42578125" style="448"/>
    <col min="15617" max="15617" width="7.28515625" style="448" customWidth="1"/>
    <col min="15618" max="15618" width="65.85546875" style="448" customWidth="1"/>
    <col min="15619" max="15619" width="9.140625" style="448" customWidth="1"/>
    <col min="15620" max="15872" width="11.42578125" style="448"/>
    <col min="15873" max="15873" width="7.28515625" style="448" customWidth="1"/>
    <col min="15874" max="15874" width="65.85546875" style="448" customWidth="1"/>
    <col min="15875" max="15875" width="9.140625" style="448" customWidth="1"/>
    <col min="15876" max="16128" width="11.42578125" style="448"/>
    <col min="16129" max="16129" width="7.28515625" style="448" customWidth="1"/>
    <col min="16130" max="16130" width="65.85546875" style="448" customWidth="1"/>
    <col min="16131" max="16131" width="9.140625" style="448" customWidth="1"/>
    <col min="16132" max="16384" width="11.42578125" style="448"/>
  </cols>
  <sheetData>
    <row r="1" spans="1:3" ht="20.25" customHeight="1"/>
    <row r="2" spans="1:3" ht="58.5" customHeight="1">
      <c r="A2" s="1194" t="s">
        <v>1194</v>
      </c>
      <c r="B2" s="1195"/>
      <c r="C2" s="1195"/>
    </row>
    <row r="3" spans="1:3" ht="10.5" customHeight="1"/>
    <row r="4" spans="1:3" s="450" customFormat="1" ht="30.75" customHeight="1">
      <c r="A4" s="457" t="s">
        <v>891</v>
      </c>
      <c r="B4" s="449" t="s">
        <v>923</v>
      </c>
      <c r="C4" s="458" t="s">
        <v>922</v>
      </c>
    </row>
    <row r="5" spans="1:3" s="450" customFormat="1" ht="8.25" customHeight="1">
      <c r="A5" s="1196"/>
      <c r="B5" s="1197"/>
      <c r="C5" s="1198"/>
    </row>
    <row r="6" spans="1:3" s="450" customFormat="1" ht="20.25" customHeight="1">
      <c r="A6" s="1199" t="s">
        <v>898</v>
      </c>
      <c r="B6" s="1200"/>
      <c r="C6" s="1201"/>
    </row>
    <row r="7" spans="1:3" s="450" customFormat="1" ht="20.100000000000001" customHeight="1">
      <c r="A7" s="459">
        <v>1</v>
      </c>
      <c r="B7" s="460" t="s">
        <v>892</v>
      </c>
      <c r="C7" s="461">
        <v>101</v>
      </c>
    </row>
    <row r="8" spans="1:3" s="450" customFormat="1" ht="20.100000000000001" customHeight="1">
      <c r="A8" s="451">
        <v>2</v>
      </c>
      <c r="B8" s="452" t="s">
        <v>899</v>
      </c>
      <c r="C8" s="454" t="s">
        <v>929</v>
      </c>
    </row>
    <row r="9" spans="1:3" s="450" customFormat="1" ht="20.100000000000001" customHeight="1">
      <c r="A9" s="451">
        <v>3</v>
      </c>
      <c r="B9" s="528" t="s">
        <v>1182</v>
      </c>
      <c r="C9" s="454" t="s">
        <v>930</v>
      </c>
    </row>
    <row r="10" spans="1:3" s="450" customFormat="1" ht="20.100000000000001" customHeight="1">
      <c r="A10" s="451">
        <v>4</v>
      </c>
      <c r="B10" s="452" t="s">
        <v>990</v>
      </c>
      <c r="C10" s="454">
        <v>103</v>
      </c>
    </row>
    <row r="11" spans="1:3" s="450" customFormat="1" ht="20.100000000000001" customHeight="1">
      <c r="A11" s="451">
        <v>5</v>
      </c>
      <c r="B11" s="452" t="s">
        <v>546</v>
      </c>
      <c r="C11" s="454">
        <v>104</v>
      </c>
    </row>
    <row r="12" spans="1:3" s="450" customFormat="1" ht="20.100000000000001" customHeight="1">
      <c r="A12" s="451">
        <v>6</v>
      </c>
      <c r="B12" s="452" t="s">
        <v>961</v>
      </c>
      <c r="C12" s="454">
        <v>105</v>
      </c>
    </row>
    <row r="13" spans="1:3" s="450" customFormat="1" ht="20.100000000000001" customHeight="1">
      <c r="A13" s="451">
        <v>7</v>
      </c>
      <c r="B13" s="452" t="s">
        <v>991</v>
      </c>
      <c r="C13" s="454" t="s">
        <v>960</v>
      </c>
    </row>
    <row r="14" spans="1:3" s="450" customFormat="1" ht="7.5" customHeight="1">
      <c r="A14" s="1202"/>
      <c r="B14" s="1203"/>
      <c r="C14" s="1204"/>
    </row>
    <row r="15" spans="1:3" s="450" customFormat="1" ht="20.100000000000001" customHeight="1">
      <c r="A15" s="1205" t="s">
        <v>903</v>
      </c>
      <c r="B15" s="1206"/>
      <c r="C15" s="1207"/>
    </row>
    <row r="16" spans="1:3" s="450" customFormat="1" ht="30" customHeight="1">
      <c r="A16" s="451">
        <v>8</v>
      </c>
      <c r="B16" s="453" t="s">
        <v>1217</v>
      </c>
      <c r="C16" s="454">
        <v>106</v>
      </c>
    </row>
    <row r="17" spans="1:3" s="450" customFormat="1" ht="30" customHeight="1">
      <c r="A17" s="451">
        <v>9</v>
      </c>
      <c r="B17" s="453" t="s">
        <v>1218</v>
      </c>
      <c r="C17" s="454" t="s">
        <v>893</v>
      </c>
    </row>
    <row r="18" spans="1:3" s="450" customFormat="1" ht="8.25" customHeight="1">
      <c r="A18" s="1208"/>
      <c r="B18" s="1209"/>
      <c r="C18" s="1210"/>
    </row>
    <row r="19" spans="1:3" s="450" customFormat="1" ht="20.100000000000001" customHeight="1">
      <c r="A19" s="1205" t="s">
        <v>902</v>
      </c>
      <c r="B19" s="1206"/>
      <c r="C19" s="1207"/>
    </row>
    <row r="20" spans="1:3" s="450" customFormat="1" ht="24.95" customHeight="1">
      <c r="A20" s="451">
        <v>10</v>
      </c>
      <c r="B20" s="453" t="s">
        <v>1190</v>
      </c>
      <c r="C20" s="455" t="s">
        <v>920</v>
      </c>
    </row>
    <row r="21" spans="1:3" s="450" customFormat="1" ht="30" customHeight="1">
      <c r="A21" s="451">
        <v>11</v>
      </c>
      <c r="B21" s="453" t="s">
        <v>1204</v>
      </c>
      <c r="C21" s="454" t="s">
        <v>894</v>
      </c>
    </row>
    <row r="22" spans="1:3" s="450" customFormat="1" ht="30" customHeight="1">
      <c r="A22" s="451">
        <v>12</v>
      </c>
      <c r="B22" s="453" t="s">
        <v>1205</v>
      </c>
      <c r="C22" s="454" t="s">
        <v>895</v>
      </c>
    </row>
    <row r="23" spans="1:3" s="450" customFormat="1" ht="30" customHeight="1">
      <c r="A23" s="451">
        <v>13</v>
      </c>
      <c r="B23" s="453" t="s">
        <v>1195</v>
      </c>
      <c r="C23" s="454" t="s">
        <v>896</v>
      </c>
    </row>
    <row r="24" spans="1:3" s="450" customFormat="1" ht="30" customHeight="1">
      <c r="A24" s="451">
        <v>14</v>
      </c>
      <c r="B24" s="453" t="s">
        <v>1196</v>
      </c>
      <c r="C24" s="454" t="s">
        <v>897</v>
      </c>
    </row>
    <row r="25" spans="1:3" s="450" customFormat="1" ht="30" customHeight="1">
      <c r="A25" s="451">
        <v>15</v>
      </c>
      <c r="B25" s="453" t="s">
        <v>921</v>
      </c>
      <c r="C25" s="454" t="s">
        <v>925</v>
      </c>
    </row>
    <row r="26" spans="1:3" s="450" customFormat="1" ht="7.5" customHeight="1">
      <c r="A26" s="1208"/>
      <c r="B26" s="1209"/>
      <c r="C26" s="1210"/>
    </row>
    <row r="27" spans="1:3" s="450" customFormat="1" ht="20.100000000000001" customHeight="1">
      <c r="A27" s="1205" t="s">
        <v>900</v>
      </c>
      <c r="B27" s="1206"/>
      <c r="C27" s="1207"/>
    </row>
    <row r="28" spans="1:3" s="450" customFormat="1" ht="30" customHeight="1">
      <c r="A28" s="451">
        <v>16</v>
      </c>
      <c r="B28" s="453" t="s">
        <v>924</v>
      </c>
      <c r="C28" s="456">
        <v>108</v>
      </c>
    </row>
    <row r="29" spans="1:3" s="450" customFormat="1" ht="30" customHeight="1">
      <c r="A29" s="451">
        <v>17</v>
      </c>
      <c r="B29" s="453" t="s">
        <v>1229</v>
      </c>
      <c r="C29" s="456">
        <v>109</v>
      </c>
    </row>
    <row r="30" spans="1:3" s="450" customFormat="1" ht="24.95" customHeight="1">
      <c r="A30" s="451">
        <v>18</v>
      </c>
      <c r="B30" s="453" t="s">
        <v>297</v>
      </c>
      <c r="C30" s="456">
        <v>110</v>
      </c>
    </row>
    <row r="31" spans="1:3" s="450" customFormat="1" ht="24.95" customHeight="1">
      <c r="A31" s="451">
        <v>19</v>
      </c>
      <c r="B31" s="453" t="s">
        <v>340</v>
      </c>
      <c r="C31" s="456">
        <v>111</v>
      </c>
    </row>
    <row r="32" spans="1:3" s="450" customFormat="1" ht="7.5" customHeight="1">
      <c r="A32" s="1208"/>
      <c r="B32" s="1209"/>
      <c r="C32" s="1210"/>
    </row>
    <row r="33" spans="1:3" s="450" customFormat="1" ht="20.100000000000001" customHeight="1">
      <c r="A33" s="1205" t="s">
        <v>901</v>
      </c>
      <c r="B33" s="1206"/>
      <c r="C33" s="1207"/>
    </row>
    <row r="34" spans="1:3" s="450" customFormat="1" ht="30" customHeight="1">
      <c r="A34" s="451">
        <v>20</v>
      </c>
      <c r="B34" s="453" t="s">
        <v>1206</v>
      </c>
      <c r="C34" s="456">
        <v>112</v>
      </c>
    </row>
    <row r="35" spans="1:3" s="450" customFormat="1" ht="30" customHeight="1">
      <c r="A35" s="462">
        <v>21</v>
      </c>
      <c r="B35" s="463" t="s">
        <v>1197</v>
      </c>
      <c r="C35" s="464">
        <v>113</v>
      </c>
    </row>
    <row r="36" spans="1:3" s="450" customFormat="1" ht="30" customHeight="1">
      <c r="A36" s="462">
        <v>22</v>
      </c>
      <c r="B36" s="463" t="s">
        <v>1025</v>
      </c>
      <c r="C36" s="464" t="s">
        <v>1026</v>
      </c>
    </row>
  </sheetData>
  <mergeCells count="11">
    <mergeCell ref="A27:C27"/>
    <mergeCell ref="A33:C33"/>
    <mergeCell ref="A19:C19"/>
    <mergeCell ref="A18:C18"/>
    <mergeCell ref="A32:C32"/>
    <mergeCell ref="A26:C26"/>
    <mergeCell ref="A2:C2"/>
    <mergeCell ref="A5:C5"/>
    <mergeCell ref="A6:C6"/>
    <mergeCell ref="A14:C14"/>
    <mergeCell ref="A15:C15"/>
  </mergeCells>
  <printOptions horizontalCentered="1"/>
  <pageMargins left="0.25" right="0.5" top="0.25" bottom="0" header="0.25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FF648"/>
  </sheetPr>
  <dimension ref="A1:IM81"/>
  <sheetViews>
    <sheetView tabSelected="1" view="pageBreakPreview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3" sqref="C13"/>
    </sheetView>
  </sheetViews>
  <sheetFormatPr defaultRowHeight="12.75"/>
  <cols>
    <col min="1" max="1" width="6.42578125" style="153" customWidth="1"/>
    <col min="2" max="2" width="53.85546875" style="153" customWidth="1"/>
    <col min="3" max="3" width="27.85546875" style="153" customWidth="1"/>
    <col min="4" max="4" width="9.140625" style="153"/>
    <col min="5" max="5" width="10.28515625" style="153" bestFit="1" customWidth="1"/>
    <col min="6" max="6" width="11.42578125" style="153" customWidth="1"/>
    <col min="7" max="7" width="10.28515625" style="153" bestFit="1" customWidth="1"/>
    <col min="8" max="8" width="13.140625" style="153" customWidth="1"/>
    <col min="9" max="9" width="13.7109375" style="153" customWidth="1"/>
    <col min="10" max="10" width="10.28515625" style="153" bestFit="1" customWidth="1"/>
    <col min="11" max="247" width="9.140625" style="153"/>
    <col min="248" max="248" width="6.42578125" style="153" customWidth="1"/>
    <col min="249" max="249" width="45.5703125" style="153" customWidth="1"/>
    <col min="250" max="252" width="17.85546875" style="153" customWidth="1"/>
    <col min="253" max="253" width="1.28515625" style="153" customWidth="1"/>
    <col min="254" max="254" width="2.42578125" style="153" customWidth="1"/>
    <col min="255" max="255" width="6.85546875" style="153" customWidth="1"/>
    <col min="256" max="256" width="35.85546875" style="153" bestFit="1" customWidth="1"/>
    <col min="257" max="257" width="13.7109375" style="153" customWidth="1"/>
    <col min="258" max="258" width="6.85546875" style="153" customWidth="1"/>
    <col min="259" max="503" width="9.140625" style="153"/>
    <col min="504" max="504" width="6.42578125" style="153" customWidth="1"/>
    <col min="505" max="505" width="45.5703125" style="153" customWidth="1"/>
    <col min="506" max="508" width="17.85546875" style="153" customWidth="1"/>
    <col min="509" max="509" width="1.28515625" style="153" customWidth="1"/>
    <col min="510" max="510" width="2.42578125" style="153" customWidth="1"/>
    <col min="511" max="511" width="6.85546875" style="153" customWidth="1"/>
    <col min="512" max="512" width="35.85546875" style="153" bestFit="1" customWidth="1"/>
    <col min="513" max="513" width="13.7109375" style="153" customWidth="1"/>
    <col min="514" max="514" width="6.85546875" style="153" customWidth="1"/>
    <col min="515" max="759" width="9.140625" style="153"/>
    <col min="760" max="760" width="6.42578125" style="153" customWidth="1"/>
    <col min="761" max="761" width="45.5703125" style="153" customWidth="1"/>
    <col min="762" max="764" width="17.85546875" style="153" customWidth="1"/>
    <col min="765" max="765" width="1.28515625" style="153" customWidth="1"/>
    <col min="766" max="766" width="2.42578125" style="153" customWidth="1"/>
    <col min="767" max="767" width="6.85546875" style="153" customWidth="1"/>
    <col min="768" max="768" width="35.85546875" style="153" bestFit="1" customWidth="1"/>
    <col min="769" max="769" width="13.7109375" style="153" customWidth="1"/>
    <col min="770" max="770" width="6.85546875" style="153" customWidth="1"/>
    <col min="771" max="1015" width="9.140625" style="153"/>
    <col min="1016" max="1016" width="6.42578125" style="153" customWidth="1"/>
    <col min="1017" max="1017" width="45.5703125" style="153" customWidth="1"/>
    <col min="1018" max="1020" width="17.85546875" style="153" customWidth="1"/>
    <col min="1021" max="1021" width="1.28515625" style="153" customWidth="1"/>
    <col min="1022" max="1022" width="2.42578125" style="153" customWidth="1"/>
    <col min="1023" max="1023" width="6.85546875" style="153" customWidth="1"/>
    <col min="1024" max="1024" width="35.85546875" style="153" bestFit="1" customWidth="1"/>
    <col min="1025" max="1025" width="13.7109375" style="153" customWidth="1"/>
    <col min="1026" max="1026" width="6.85546875" style="153" customWidth="1"/>
    <col min="1027" max="1271" width="9.140625" style="153"/>
    <col min="1272" max="1272" width="6.42578125" style="153" customWidth="1"/>
    <col min="1273" max="1273" width="45.5703125" style="153" customWidth="1"/>
    <col min="1274" max="1276" width="17.85546875" style="153" customWidth="1"/>
    <col min="1277" max="1277" width="1.28515625" style="153" customWidth="1"/>
    <col min="1278" max="1278" width="2.42578125" style="153" customWidth="1"/>
    <col min="1279" max="1279" width="6.85546875" style="153" customWidth="1"/>
    <col min="1280" max="1280" width="35.85546875" style="153" bestFit="1" customWidth="1"/>
    <col min="1281" max="1281" width="13.7109375" style="153" customWidth="1"/>
    <col min="1282" max="1282" width="6.85546875" style="153" customWidth="1"/>
    <col min="1283" max="1527" width="9.140625" style="153"/>
    <col min="1528" max="1528" width="6.42578125" style="153" customWidth="1"/>
    <col min="1529" max="1529" width="45.5703125" style="153" customWidth="1"/>
    <col min="1530" max="1532" width="17.85546875" style="153" customWidth="1"/>
    <col min="1533" max="1533" width="1.28515625" style="153" customWidth="1"/>
    <col min="1534" max="1534" width="2.42578125" style="153" customWidth="1"/>
    <col min="1535" max="1535" width="6.85546875" style="153" customWidth="1"/>
    <col min="1536" max="1536" width="35.85546875" style="153" bestFit="1" customWidth="1"/>
    <col min="1537" max="1537" width="13.7109375" style="153" customWidth="1"/>
    <col min="1538" max="1538" width="6.85546875" style="153" customWidth="1"/>
    <col min="1539" max="1783" width="9.140625" style="153"/>
    <col min="1784" max="1784" width="6.42578125" style="153" customWidth="1"/>
    <col min="1785" max="1785" width="45.5703125" style="153" customWidth="1"/>
    <col min="1786" max="1788" width="17.85546875" style="153" customWidth="1"/>
    <col min="1789" max="1789" width="1.28515625" style="153" customWidth="1"/>
    <col min="1790" max="1790" width="2.42578125" style="153" customWidth="1"/>
    <col min="1791" max="1791" width="6.85546875" style="153" customWidth="1"/>
    <col min="1792" max="1792" width="35.85546875" style="153" bestFit="1" customWidth="1"/>
    <col min="1793" max="1793" width="13.7109375" style="153" customWidth="1"/>
    <col min="1794" max="1794" width="6.85546875" style="153" customWidth="1"/>
    <col min="1795" max="2039" width="9.140625" style="153"/>
    <col min="2040" max="2040" width="6.42578125" style="153" customWidth="1"/>
    <col min="2041" max="2041" width="45.5703125" style="153" customWidth="1"/>
    <col min="2042" max="2044" width="17.85546875" style="153" customWidth="1"/>
    <col min="2045" max="2045" width="1.28515625" style="153" customWidth="1"/>
    <col min="2046" max="2046" width="2.42578125" style="153" customWidth="1"/>
    <col min="2047" max="2047" width="6.85546875" style="153" customWidth="1"/>
    <col min="2048" max="2048" width="35.85546875" style="153" bestFit="1" customWidth="1"/>
    <col min="2049" max="2049" width="13.7109375" style="153" customWidth="1"/>
    <col min="2050" max="2050" width="6.85546875" style="153" customWidth="1"/>
    <col min="2051" max="2295" width="9.140625" style="153"/>
    <col min="2296" max="2296" width="6.42578125" style="153" customWidth="1"/>
    <col min="2297" max="2297" width="45.5703125" style="153" customWidth="1"/>
    <col min="2298" max="2300" width="17.85546875" style="153" customWidth="1"/>
    <col min="2301" max="2301" width="1.28515625" style="153" customWidth="1"/>
    <col min="2302" max="2302" width="2.42578125" style="153" customWidth="1"/>
    <col min="2303" max="2303" width="6.85546875" style="153" customWidth="1"/>
    <col min="2304" max="2304" width="35.85546875" style="153" bestFit="1" customWidth="1"/>
    <col min="2305" max="2305" width="13.7109375" style="153" customWidth="1"/>
    <col min="2306" max="2306" width="6.85546875" style="153" customWidth="1"/>
    <col min="2307" max="2551" width="9.140625" style="153"/>
    <col min="2552" max="2552" width="6.42578125" style="153" customWidth="1"/>
    <col min="2553" max="2553" width="45.5703125" style="153" customWidth="1"/>
    <col min="2554" max="2556" width="17.85546875" style="153" customWidth="1"/>
    <col min="2557" max="2557" width="1.28515625" style="153" customWidth="1"/>
    <col min="2558" max="2558" width="2.42578125" style="153" customWidth="1"/>
    <col min="2559" max="2559" width="6.85546875" style="153" customWidth="1"/>
    <col min="2560" max="2560" width="35.85546875" style="153" bestFit="1" customWidth="1"/>
    <col min="2561" max="2561" width="13.7109375" style="153" customWidth="1"/>
    <col min="2562" max="2562" width="6.85546875" style="153" customWidth="1"/>
    <col min="2563" max="2807" width="9.140625" style="153"/>
    <col min="2808" max="2808" width="6.42578125" style="153" customWidth="1"/>
    <col min="2809" max="2809" width="45.5703125" style="153" customWidth="1"/>
    <col min="2810" max="2812" width="17.85546875" style="153" customWidth="1"/>
    <col min="2813" max="2813" width="1.28515625" style="153" customWidth="1"/>
    <col min="2814" max="2814" width="2.42578125" style="153" customWidth="1"/>
    <col min="2815" max="2815" width="6.85546875" style="153" customWidth="1"/>
    <col min="2816" max="2816" width="35.85546875" style="153" bestFit="1" customWidth="1"/>
    <col min="2817" max="2817" width="13.7109375" style="153" customWidth="1"/>
    <col min="2818" max="2818" width="6.85546875" style="153" customWidth="1"/>
    <col min="2819" max="3063" width="9.140625" style="153"/>
    <col min="3064" max="3064" width="6.42578125" style="153" customWidth="1"/>
    <col min="3065" max="3065" width="45.5703125" style="153" customWidth="1"/>
    <col min="3066" max="3068" width="17.85546875" style="153" customWidth="1"/>
    <col min="3069" max="3069" width="1.28515625" style="153" customWidth="1"/>
    <col min="3070" max="3070" width="2.42578125" style="153" customWidth="1"/>
    <col min="3071" max="3071" width="6.85546875" style="153" customWidth="1"/>
    <col min="3072" max="3072" width="35.85546875" style="153" bestFit="1" customWidth="1"/>
    <col min="3073" max="3073" width="13.7109375" style="153" customWidth="1"/>
    <col min="3074" max="3074" width="6.85546875" style="153" customWidth="1"/>
    <col min="3075" max="3319" width="9.140625" style="153"/>
    <col min="3320" max="3320" width="6.42578125" style="153" customWidth="1"/>
    <col min="3321" max="3321" width="45.5703125" style="153" customWidth="1"/>
    <col min="3322" max="3324" width="17.85546875" style="153" customWidth="1"/>
    <col min="3325" max="3325" width="1.28515625" style="153" customWidth="1"/>
    <col min="3326" max="3326" width="2.42578125" style="153" customWidth="1"/>
    <col min="3327" max="3327" width="6.85546875" style="153" customWidth="1"/>
    <col min="3328" max="3328" width="35.85546875" style="153" bestFit="1" customWidth="1"/>
    <col min="3329" max="3329" width="13.7109375" style="153" customWidth="1"/>
    <col min="3330" max="3330" width="6.85546875" style="153" customWidth="1"/>
    <col min="3331" max="3575" width="9.140625" style="153"/>
    <col min="3576" max="3576" width="6.42578125" style="153" customWidth="1"/>
    <col min="3577" max="3577" width="45.5703125" style="153" customWidth="1"/>
    <col min="3578" max="3580" width="17.85546875" style="153" customWidth="1"/>
    <col min="3581" max="3581" width="1.28515625" style="153" customWidth="1"/>
    <col min="3582" max="3582" width="2.42578125" style="153" customWidth="1"/>
    <col min="3583" max="3583" width="6.85546875" style="153" customWidth="1"/>
    <col min="3584" max="3584" width="35.85546875" style="153" bestFit="1" customWidth="1"/>
    <col min="3585" max="3585" width="13.7109375" style="153" customWidth="1"/>
    <col min="3586" max="3586" width="6.85546875" style="153" customWidth="1"/>
    <col min="3587" max="3831" width="9.140625" style="153"/>
    <col min="3832" max="3832" width="6.42578125" style="153" customWidth="1"/>
    <col min="3833" max="3833" width="45.5703125" style="153" customWidth="1"/>
    <col min="3834" max="3836" width="17.85546875" style="153" customWidth="1"/>
    <col min="3837" max="3837" width="1.28515625" style="153" customWidth="1"/>
    <col min="3838" max="3838" width="2.42578125" style="153" customWidth="1"/>
    <col min="3839" max="3839" width="6.85546875" style="153" customWidth="1"/>
    <col min="3840" max="3840" width="35.85546875" style="153" bestFit="1" customWidth="1"/>
    <col min="3841" max="3841" width="13.7109375" style="153" customWidth="1"/>
    <col min="3842" max="3842" width="6.85546875" style="153" customWidth="1"/>
    <col min="3843" max="4087" width="9.140625" style="153"/>
    <col min="4088" max="4088" width="6.42578125" style="153" customWidth="1"/>
    <col min="4089" max="4089" width="45.5703125" style="153" customWidth="1"/>
    <col min="4090" max="4092" width="17.85546875" style="153" customWidth="1"/>
    <col min="4093" max="4093" width="1.28515625" style="153" customWidth="1"/>
    <col min="4094" max="4094" width="2.42578125" style="153" customWidth="1"/>
    <col min="4095" max="4095" width="6.85546875" style="153" customWidth="1"/>
    <col min="4096" max="4096" width="35.85546875" style="153" bestFit="1" customWidth="1"/>
    <col min="4097" max="4097" width="13.7109375" style="153" customWidth="1"/>
    <col min="4098" max="4098" width="6.85546875" style="153" customWidth="1"/>
    <col min="4099" max="4343" width="9.140625" style="153"/>
    <col min="4344" max="4344" width="6.42578125" style="153" customWidth="1"/>
    <col min="4345" max="4345" width="45.5703125" style="153" customWidth="1"/>
    <col min="4346" max="4348" width="17.85546875" style="153" customWidth="1"/>
    <col min="4349" max="4349" width="1.28515625" style="153" customWidth="1"/>
    <col min="4350" max="4350" width="2.42578125" style="153" customWidth="1"/>
    <col min="4351" max="4351" width="6.85546875" style="153" customWidth="1"/>
    <col min="4352" max="4352" width="35.85546875" style="153" bestFit="1" customWidth="1"/>
    <col min="4353" max="4353" width="13.7109375" style="153" customWidth="1"/>
    <col min="4354" max="4354" width="6.85546875" style="153" customWidth="1"/>
    <col min="4355" max="4599" width="9.140625" style="153"/>
    <col min="4600" max="4600" width="6.42578125" style="153" customWidth="1"/>
    <col min="4601" max="4601" width="45.5703125" style="153" customWidth="1"/>
    <col min="4602" max="4604" width="17.85546875" style="153" customWidth="1"/>
    <col min="4605" max="4605" width="1.28515625" style="153" customWidth="1"/>
    <col min="4606" max="4606" width="2.42578125" style="153" customWidth="1"/>
    <col min="4607" max="4607" width="6.85546875" style="153" customWidth="1"/>
    <col min="4608" max="4608" width="35.85546875" style="153" bestFit="1" customWidth="1"/>
    <col min="4609" max="4609" width="13.7109375" style="153" customWidth="1"/>
    <col min="4610" max="4610" width="6.85546875" style="153" customWidth="1"/>
    <col min="4611" max="4855" width="9.140625" style="153"/>
    <col min="4856" max="4856" width="6.42578125" style="153" customWidth="1"/>
    <col min="4857" max="4857" width="45.5703125" style="153" customWidth="1"/>
    <col min="4858" max="4860" width="17.85546875" style="153" customWidth="1"/>
    <col min="4861" max="4861" width="1.28515625" style="153" customWidth="1"/>
    <col min="4862" max="4862" width="2.42578125" style="153" customWidth="1"/>
    <col min="4863" max="4863" width="6.85546875" style="153" customWidth="1"/>
    <col min="4864" max="4864" width="35.85546875" style="153" bestFit="1" customWidth="1"/>
    <col min="4865" max="4865" width="13.7109375" style="153" customWidth="1"/>
    <col min="4866" max="4866" width="6.85546875" style="153" customWidth="1"/>
    <col min="4867" max="5111" width="9.140625" style="153"/>
    <col min="5112" max="5112" width="6.42578125" style="153" customWidth="1"/>
    <col min="5113" max="5113" width="45.5703125" style="153" customWidth="1"/>
    <col min="5114" max="5116" width="17.85546875" style="153" customWidth="1"/>
    <col min="5117" max="5117" width="1.28515625" style="153" customWidth="1"/>
    <col min="5118" max="5118" width="2.42578125" style="153" customWidth="1"/>
    <col min="5119" max="5119" width="6.85546875" style="153" customWidth="1"/>
    <col min="5120" max="5120" width="35.85546875" style="153" bestFit="1" customWidth="1"/>
    <col min="5121" max="5121" width="13.7109375" style="153" customWidth="1"/>
    <col min="5122" max="5122" width="6.85546875" style="153" customWidth="1"/>
    <col min="5123" max="5367" width="9.140625" style="153"/>
    <col min="5368" max="5368" width="6.42578125" style="153" customWidth="1"/>
    <col min="5369" max="5369" width="45.5703125" style="153" customWidth="1"/>
    <col min="5370" max="5372" width="17.85546875" style="153" customWidth="1"/>
    <col min="5373" max="5373" width="1.28515625" style="153" customWidth="1"/>
    <col min="5374" max="5374" width="2.42578125" style="153" customWidth="1"/>
    <col min="5375" max="5375" width="6.85546875" style="153" customWidth="1"/>
    <col min="5376" max="5376" width="35.85546875" style="153" bestFit="1" customWidth="1"/>
    <col min="5377" max="5377" width="13.7109375" style="153" customWidth="1"/>
    <col min="5378" max="5378" width="6.85546875" style="153" customWidth="1"/>
    <col min="5379" max="5623" width="9.140625" style="153"/>
    <col min="5624" max="5624" width="6.42578125" style="153" customWidth="1"/>
    <col min="5625" max="5625" width="45.5703125" style="153" customWidth="1"/>
    <col min="5626" max="5628" width="17.85546875" style="153" customWidth="1"/>
    <col min="5629" max="5629" width="1.28515625" style="153" customWidth="1"/>
    <col min="5630" max="5630" width="2.42578125" style="153" customWidth="1"/>
    <col min="5631" max="5631" width="6.85546875" style="153" customWidth="1"/>
    <col min="5632" max="5632" width="35.85546875" style="153" bestFit="1" customWidth="1"/>
    <col min="5633" max="5633" width="13.7109375" style="153" customWidth="1"/>
    <col min="5634" max="5634" width="6.85546875" style="153" customWidth="1"/>
    <col min="5635" max="5879" width="9.140625" style="153"/>
    <col min="5880" max="5880" width="6.42578125" style="153" customWidth="1"/>
    <col min="5881" max="5881" width="45.5703125" style="153" customWidth="1"/>
    <col min="5882" max="5884" width="17.85546875" style="153" customWidth="1"/>
    <col min="5885" max="5885" width="1.28515625" style="153" customWidth="1"/>
    <col min="5886" max="5886" width="2.42578125" style="153" customWidth="1"/>
    <col min="5887" max="5887" width="6.85546875" style="153" customWidth="1"/>
    <col min="5888" max="5888" width="35.85546875" style="153" bestFit="1" customWidth="1"/>
    <col min="5889" max="5889" width="13.7109375" style="153" customWidth="1"/>
    <col min="5890" max="5890" width="6.85546875" style="153" customWidth="1"/>
    <col min="5891" max="6135" width="9.140625" style="153"/>
    <col min="6136" max="6136" width="6.42578125" style="153" customWidth="1"/>
    <col min="6137" max="6137" width="45.5703125" style="153" customWidth="1"/>
    <col min="6138" max="6140" width="17.85546875" style="153" customWidth="1"/>
    <col min="6141" max="6141" width="1.28515625" style="153" customWidth="1"/>
    <col min="6142" max="6142" width="2.42578125" style="153" customWidth="1"/>
    <col min="6143" max="6143" width="6.85546875" style="153" customWidth="1"/>
    <col min="6144" max="6144" width="35.85546875" style="153" bestFit="1" customWidth="1"/>
    <col min="6145" max="6145" width="13.7109375" style="153" customWidth="1"/>
    <col min="6146" max="6146" width="6.85546875" style="153" customWidth="1"/>
    <col min="6147" max="6391" width="9.140625" style="153"/>
    <col min="6392" max="6392" width="6.42578125" style="153" customWidth="1"/>
    <col min="6393" max="6393" width="45.5703125" style="153" customWidth="1"/>
    <col min="6394" max="6396" width="17.85546875" style="153" customWidth="1"/>
    <col min="6397" max="6397" width="1.28515625" style="153" customWidth="1"/>
    <col min="6398" max="6398" width="2.42578125" style="153" customWidth="1"/>
    <col min="6399" max="6399" width="6.85546875" style="153" customWidth="1"/>
    <col min="6400" max="6400" width="35.85546875" style="153" bestFit="1" customWidth="1"/>
    <col min="6401" max="6401" width="13.7109375" style="153" customWidth="1"/>
    <col min="6402" max="6402" width="6.85546875" style="153" customWidth="1"/>
    <col min="6403" max="6647" width="9.140625" style="153"/>
    <col min="6648" max="6648" width="6.42578125" style="153" customWidth="1"/>
    <col min="6649" max="6649" width="45.5703125" style="153" customWidth="1"/>
    <col min="6650" max="6652" width="17.85546875" style="153" customWidth="1"/>
    <col min="6653" max="6653" width="1.28515625" style="153" customWidth="1"/>
    <col min="6654" max="6654" width="2.42578125" style="153" customWidth="1"/>
    <col min="6655" max="6655" width="6.85546875" style="153" customWidth="1"/>
    <col min="6656" max="6656" width="35.85546875" style="153" bestFit="1" customWidth="1"/>
    <col min="6657" max="6657" width="13.7109375" style="153" customWidth="1"/>
    <col min="6658" max="6658" width="6.85546875" style="153" customWidth="1"/>
    <col min="6659" max="6903" width="9.140625" style="153"/>
    <col min="6904" max="6904" width="6.42578125" style="153" customWidth="1"/>
    <col min="6905" max="6905" width="45.5703125" style="153" customWidth="1"/>
    <col min="6906" max="6908" width="17.85546875" style="153" customWidth="1"/>
    <col min="6909" max="6909" width="1.28515625" style="153" customWidth="1"/>
    <col min="6910" max="6910" width="2.42578125" style="153" customWidth="1"/>
    <col min="6911" max="6911" width="6.85546875" style="153" customWidth="1"/>
    <col min="6912" max="6912" width="35.85546875" style="153" bestFit="1" customWidth="1"/>
    <col min="6913" max="6913" width="13.7109375" style="153" customWidth="1"/>
    <col min="6914" max="6914" width="6.85546875" style="153" customWidth="1"/>
    <col min="6915" max="7159" width="9.140625" style="153"/>
    <col min="7160" max="7160" width="6.42578125" style="153" customWidth="1"/>
    <col min="7161" max="7161" width="45.5703125" style="153" customWidth="1"/>
    <col min="7162" max="7164" width="17.85546875" style="153" customWidth="1"/>
    <col min="7165" max="7165" width="1.28515625" style="153" customWidth="1"/>
    <col min="7166" max="7166" width="2.42578125" style="153" customWidth="1"/>
    <col min="7167" max="7167" width="6.85546875" style="153" customWidth="1"/>
    <col min="7168" max="7168" width="35.85546875" style="153" bestFit="1" customWidth="1"/>
    <col min="7169" max="7169" width="13.7109375" style="153" customWidth="1"/>
    <col min="7170" max="7170" width="6.85546875" style="153" customWidth="1"/>
    <col min="7171" max="7415" width="9.140625" style="153"/>
    <col min="7416" max="7416" width="6.42578125" style="153" customWidth="1"/>
    <col min="7417" max="7417" width="45.5703125" style="153" customWidth="1"/>
    <col min="7418" max="7420" width="17.85546875" style="153" customWidth="1"/>
    <col min="7421" max="7421" width="1.28515625" style="153" customWidth="1"/>
    <col min="7422" max="7422" width="2.42578125" style="153" customWidth="1"/>
    <col min="7423" max="7423" width="6.85546875" style="153" customWidth="1"/>
    <col min="7424" max="7424" width="35.85546875" style="153" bestFit="1" customWidth="1"/>
    <col min="7425" max="7425" width="13.7109375" style="153" customWidth="1"/>
    <col min="7426" max="7426" width="6.85546875" style="153" customWidth="1"/>
    <col min="7427" max="7671" width="9.140625" style="153"/>
    <col min="7672" max="7672" width="6.42578125" style="153" customWidth="1"/>
    <col min="7673" max="7673" width="45.5703125" style="153" customWidth="1"/>
    <col min="7674" max="7676" width="17.85546875" style="153" customWidth="1"/>
    <col min="7677" max="7677" width="1.28515625" style="153" customWidth="1"/>
    <col min="7678" max="7678" width="2.42578125" style="153" customWidth="1"/>
    <col min="7679" max="7679" width="6.85546875" style="153" customWidth="1"/>
    <col min="7680" max="7680" width="35.85546875" style="153" bestFit="1" customWidth="1"/>
    <col min="7681" max="7681" width="13.7109375" style="153" customWidth="1"/>
    <col min="7682" max="7682" width="6.85546875" style="153" customWidth="1"/>
    <col min="7683" max="7927" width="9.140625" style="153"/>
    <col min="7928" max="7928" width="6.42578125" style="153" customWidth="1"/>
    <col min="7929" max="7929" width="45.5703125" style="153" customWidth="1"/>
    <col min="7930" max="7932" width="17.85546875" style="153" customWidth="1"/>
    <col min="7933" max="7933" width="1.28515625" style="153" customWidth="1"/>
    <col min="7934" max="7934" width="2.42578125" style="153" customWidth="1"/>
    <col min="7935" max="7935" width="6.85546875" style="153" customWidth="1"/>
    <col min="7936" max="7936" width="35.85546875" style="153" bestFit="1" customWidth="1"/>
    <col min="7937" max="7937" width="13.7109375" style="153" customWidth="1"/>
    <col min="7938" max="7938" width="6.85546875" style="153" customWidth="1"/>
    <col min="7939" max="8183" width="9.140625" style="153"/>
    <col min="8184" max="8184" width="6.42578125" style="153" customWidth="1"/>
    <col min="8185" max="8185" width="45.5703125" style="153" customWidth="1"/>
    <col min="8186" max="8188" width="17.85546875" style="153" customWidth="1"/>
    <col min="8189" max="8189" width="1.28515625" style="153" customWidth="1"/>
    <col min="8190" max="8190" width="2.42578125" style="153" customWidth="1"/>
    <col min="8191" max="8191" width="6.85546875" style="153" customWidth="1"/>
    <col min="8192" max="8192" width="35.85546875" style="153" bestFit="1" customWidth="1"/>
    <col min="8193" max="8193" width="13.7109375" style="153" customWidth="1"/>
    <col min="8194" max="8194" width="6.85546875" style="153" customWidth="1"/>
    <col min="8195" max="8439" width="9.140625" style="153"/>
    <col min="8440" max="8440" width="6.42578125" style="153" customWidth="1"/>
    <col min="8441" max="8441" width="45.5703125" style="153" customWidth="1"/>
    <col min="8442" max="8444" width="17.85546875" style="153" customWidth="1"/>
    <col min="8445" max="8445" width="1.28515625" style="153" customWidth="1"/>
    <col min="8446" max="8446" width="2.42578125" style="153" customWidth="1"/>
    <col min="8447" max="8447" width="6.85546875" style="153" customWidth="1"/>
    <col min="8448" max="8448" width="35.85546875" style="153" bestFit="1" customWidth="1"/>
    <col min="8449" max="8449" width="13.7109375" style="153" customWidth="1"/>
    <col min="8450" max="8450" width="6.85546875" style="153" customWidth="1"/>
    <col min="8451" max="8695" width="9.140625" style="153"/>
    <col min="8696" max="8696" width="6.42578125" style="153" customWidth="1"/>
    <col min="8697" max="8697" width="45.5703125" style="153" customWidth="1"/>
    <col min="8698" max="8700" width="17.85546875" style="153" customWidth="1"/>
    <col min="8701" max="8701" width="1.28515625" style="153" customWidth="1"/>
    <col min="8702" max="8702" width="2.42578125" style="153" customWidth="1"/>
    <col min="8703" max="8703" width="6.85546875" style="153" customWidth="1"/>
    <col min="8704" max="8704" width="35.85546875" style="153" bestFit="1" customWidth="1"/>
    <col min="8705" max="8705" width="13.7109375" style="153" customWidth="1"/>
    <col min="8706" max="8706" width="6.85546875" style="153" customWidth="1"/>
    <col min="8707" max="8951" width="9.140625" style="153"/>
    <col min="8952" max="8952" width="6.42578125" style="153" customWidth="1"/>
    <col min="8953" max="8953" width="45.5703125" style="153" customWidth="1"/>
    <col min="8954" max="8956" width="17.85546875" style="153" customWidth="1"/>
    <col min="8957" max="8957" width="1.28515625" style="153" customWidth="1"/>
    <col min="8958" max="8958" width="2.42578125" style="153" customWidth="1"/>
    <col min="8959" max="8959" width="6.85546875" style="153" customWidth="1"/>
    <col min="8960" max="8960" width="35.85546875" style="153" bestFit="1" customWidth="1"/>
    <col min="8961" max="8961" width="13.7109375" style="153" customWidth="1"/>
    <col min="8962" max="8962" width="6.85546875" style="153" customWidth="1"/>
    <col min="8963" max="9207" width="9.140625" style="153"/>
    <col min="9208" max="9208" width="6.42578125" style="153" customWidth="1"/>
    <col min="9209" max="9209" width="45.5703125" style="153" customWidth="1"/>
    <col min="9210" max="9212" width="17.85546875" style="153" customWidth="1"/>
    <col min="9213" max="9213" width="1.28515625" style="153" customWidth="1"/>
    <col min="9214" max="9214" width="2.42578125" style="153" customWidth="1"/>
    <col min="9215" max="9215" width="6.85546875" style="153" customWidth="1"/>
    <col min="9216" max="9216" width="35.85546875" style="153" bestFit="1" customWidth="1"/>
    <col min="9217" max="9217" width="13.7109375" style="153" customWidth="1"/>
    <col min="9218" max="9218" width="6.85546875" style="153" customWidth="1"/>
    <col min="9219" max="9463" width="9.140625" style="153"/>
    <col min="9464" max="9464" width="6.42578125" style="153" customWidth="1"/>
    <col min="9465" max="9465" width="45.5703125" style="153" customWidth="1"/>
    <col min="9466" max="9468" width="17.85546875" style="153" customWidth="1"/>
    <col min="9469" max="9469" width="1.28515625" style="153" customWidth="1"/>
    <col min="9470" max="9470" width="2.42578125" style="153" customWidth="1"/>
    <col min="9471" max="9471" width="6.85546875" style="153" customWidth="1"/>
    <col min="9472" max="9472" width="35.85546875" style="153" bestFit="1" customWidth="1"/>
    <col min="9473" max="9473" width="13.7109375" style="153" customWidth="1"/>
    <col min="9474" max="9474" width="6.85546875" style="153" customWidth="1"/>
    <col min="9475" max="9719" width="9.140625" style="153"/>
    <col min="9720" max="9720" width="6.42578125" style="153" customWidth="1"/>
    <col min="9721" max="9721" width="45.5703125" style="153" customWidth="1"/>
    <col min="9722" max="9724" width="17.85546875" style="153" customWidth="1"/>
    <col min="9725" max="9725" width="1.28515625" style="153" customWidth="1"/>
    <col min="9726" max="9726" width="2.42578125" style="153" customWidth="1"/>
    <col min="9727" max="9727" width="6.85546875" style="153" customWidth="1"/>
    <col min="9728" max="9728" width="35.85546875" style="153" bestFit="1" customWidth="1"/>
    <col min="9729" max="9729" width="13.7109375" style="153" customWidth="1"/>
    <col min="9730" max="9730" width="6.85546875" style="153" customWidth="1"/>
    <col min="9731" max="9975" width="9.140625" style="153"/>
    <col min="9976" max="9976" width="6.42578125" style="153" customWidth="1"/>
    <col min="9977" max="9977" width="45.5703125" style="153" customWidth="1"/>
    <col min="9978" max="9980" width="17.85546875" style="153" customWidth="1"/>
    <col min="9981" max="9981" width="1.28515625" style="153" customWidth="1"/>
    <col min="9982" max="9982" width="2.42578125" style="153" customWidth="1"/>
    <col min="9983" max="9983" width="6.85546875" style="153" customWidth="1"/>
    <col min="9984" max="9984" width="35.85546875" style="153" bestFit="1" customWidth="1"/>
    <col min="9985" max="9985" width="13.7109375" style="153" customWidth="1"/>
    <col min="9986" max="9986" width="6.85546875" style="153" customWidth="1"/>
    <col min="9987" max="10231" width="9.140625" style="153"/>
    <col min="10232" max="10232" width="6.42578125" style="153" customWidth="1"/>
    <col min="10233" max="10233" width="45.5703125" style="153" customWidth="1"/>
    <col min="10234" max="10236" width="17.85546875" style="153" customWidth="1"/>
    <col min="10237" max="10237" width="1.28515625" style="153" customWidth="1"/>
    <col min="10238" max="10238" width="2.42578125" style="153" customWidth="1"/>
    <col min="10239" max="10239" width="6.85546875" style="153" customWidth="1"/>
    <col min="10240" max="10240" width="35.85546875" style="153" bestFit="1" customWidth="1"/>
    <col min="10241" max="10241" width="13.7109375" style="153" customWidth="1"/>
    <col min="10242" max="10242" width="6.85546875" style="153" customWidth="1"/>
    <col min="10243" max="10487" width="9.140625" style="153"/>
    <col min="10488" max="10488" width="6.42578125" style="153" customWidth="1"/>
    <col min="10489" max="10489" width="45.5703125" style="153" customWidth="1"/>
    <col min="10490" max="10492" width="17.85546875" style="153" customWidth="1"/>
    <col min="10493" max="10493" width="1.28515625" style="153" customWidth="1"/>
    <col min="10494" max="10494" width="2.42578125" style="153" customWidth="1"/>
    <col min="10495" max="10495" width="6.85546875" style="153" customWidth="1"/>
    <col min="10496" max="10496" width="35.85546875" style="153" bestFit="1" customWidth="1"/>
    <col min="10497" max="10497" width="13.7109375" style="153" customWidth="1"/>
    <col min="10498" max="10498" width="6.85546875" style="153" customWidth="1"/>
    <col min="10499" max="10743" width="9.140625" style="153"/>
    <col min="10744" max="10744" width="6.42578125" style="153" customWidth="1"/>
    <col min="10745" max="10745" width="45.5703125" style="153" customWidth="1"/>
    <col min="10746" max="10748" width="17.85546875" style="153" customWidth="1"/>
    <col min="10749" max="10749" width="1.28515625" style="153" customWidth="1"/>
    <col min="10750" max="10750" width="2.42578125" style="153" customWidth="1"/>
    <col min="10751" max="10751" width="6.85546875" style="153" customWidth="1"/>
    <col min="10752" max="10752" width="35.85546875" style="153" bestFit="1" customWidth="1"/>
    <col min="10753" max="10753" width="13.7109375" style="153" customWidth="1"/>
    <col min="10754" max="10754" width="6.85546875" style="153" customWidth="1"/>
    <col min="10755" max="10999" width="9.140625" style="153"/>
    <col min="11000" max="11000" width="6.42578125" style="153" customWidth="1"/>
    <col min="11001" max="11001" width="45.5703125" style="153" customWidth="1"/>
    <col min="11002" max="11004" width="17.85546875" style="153" customWidth="1"/>
    <col min="11005" max="11005" width="1.28515625" style="153" customWidth="1"/>
    <col min="11006" max="11006" width="2.42578125" style="153" customWidth="1"/>
    <col min="11007" max="11007" width="6.85546875" style="153" customWidth="1"/>
    <col min="11008" max="11008" width="35.85546875" style="153" bestFit="1" customWidth="1"/>
    <col min="11009" max="11009" width="13.7109375" style="153" customWidth="1"/>
    <col min="11010" max="11010" width="6.85546875" style="153" customWidth="1"/>
    <col min="11011" max="11255" width="9.140625" style="153"/>
    <col min="11256" max="11256" width="6.42578125" style="153" customWidth="1"/>
    <col min="11257" max="11257" width="45.5703125" style="153" customWidth="1"/>
    <col min="11258" max="11260" width="17.85546875" style="153" customWidth="1"/>
    <col min="11261" max="11261" width="1.28515625" style="153" customWidth="1"/>
    <col min="11262" max="11262" width="2.42578125" style="153" customWidth="1"/>
    <col min="11263" max="11263" width="6.85546875" style="153" customWidth="1"/>
    <col min="11264" max="11264" width="35.85546875" style="153" bestFit="1" customWidth="1"/>
    <col min="11265" max="11265" width="13.7109375" style="153" customWidth="1"/>
    <col min="11266" max="11266" width="6.85546875" style="153" customWidth="1"/>
    <col min="11267" max="11511" width="9.140625" style="153"/>
    <col min="11512" max="11512" width="6.42578125" style="153" customWidth="1"/>
    <col min="11513" max="11513" width="45.5703125" style="153" customWidth="1"/>
    <col min="11514" max="11516" width="17.85546875" style="153" customWidth="1"/>
    <col min="11517" max="11517" width="1.28515625" style="153" customWidth="1"/>
    <col min="11518" max="11518" width="2.42578125" style="153" customWidth="1"/>
    <col min="11519" max="11519" width="6.85546875" style="153" customWidth="1"/>
    <col min="11520" max="11520" width="35.85546875" style="153" bestFit="1" customWidth="1"/>
    <col min="11521" max="11521" width="13.7109375" style="153" customWidth="1"/>
    <col min="11522" max="11522" width="6.85546875" style="153" customWidth="1"/>
    <col min="11523" max="11767" width="9.140625" style="153"/>
    <col min="11768" max="11768" width="6.42578125" style="153" customWidth="1"/>
    <col min="11769" max="11769" width="45.5703125" style="153" customWidth="1"/>
    <col min="11770" max="11772" width="17.85546875" style="153" customWidth="1"/>
    <col min="11773" max="11773" width="1.28515625" style="153" customWidth="1"/>
    <col min="11774" max="11774" width="2.42578125" style="153" customWidth="1"/>
    <col min="11775" max="11775" width="6.85546875" style="153" customWidth="1"/>
    <col min="11776" max="11776" width="35.85546875" style="153" bestFit="1" customWidth="1"/>
    <col min="11777" max="11777" width="13.7109375" style="153" customWidth="1"/>
    <col min="11778" max="11778" width="6.85546875" style="153" customWidth="1"/>
    <col min="11779" max="12023" width="9.140625" style="153"/>
    <col min="12024" max="12024" width="6.42578125" style="153" customWidth="1"/>
    <col min="12025" max="12025" width="45.5703125" style="153" customWidth="1"/>
    <col min="12026" max="12028" width="17.85546875" style="153" customWidth="1"/>
    <col min="12029" max="12029" width="1.28515625" style="153" customWidth="1"/>
    <col min="12030" max="12030" width="2.42578125" style="153" customWidth="1"/>
    <col min="12031" max="12031" width="6.85546875" style="153" customWidth="1"/>
    <col min="12032" max="12032" width="35.85546875" style="153" bestFit="1" customWidth="1"/>
    <col min="12033" max="12033" width="13.7109375" style="153" customWidth="1"/>
    <col min="12034" max="12034" width="6.85546875" style="153" customWidth="1"/>
    <col min="12035" max="12279" width="9.140625" style="153"/>
    <col min="12280" max="12280" width="6.42578125" style="153" customWidth="1"/>
    <col min="12281" max="12281" width="45.5703125" style="153" customWidth="1"/>
    <col min="12282" max="12284" width="17.85546875" style="153" customWidth="1"/>
    <col min="12285" max="12285" width="1.28515625" style="153" customWidth="1"/>
    <col min="12286" max="12286" width="2.42578125" style="153" customWidth="1"/>
    <col min="12287" max="12287" width="6.85546875" style="153" customWidth="1"/>
    <col min="12288" max="12288" width="35.85546875" style="153" bestFit="1" customWidth="1"/>
    <col min="12289" max="12289" width="13.7109375" style="153" customWidth="1"/>
    <col min="12290" max="12290" width="6.85546875" style="153" customWidth="1"/>
    <col min="12291" max="12535" width="9.140625" style="153"/>
    <col min="12536" max="12536" width="6.42578125" style="153" customWidth="1"/>
    <col min="12537" max="12537" width="45.5703125" style="153" customWidth="1"/>
    <col min="12538" max="12540" width="17.85546875" style="153" customWidth="1"/>
    <col min="12541" max="12541" width="1.28515625" style="153" customWidth="1"/>
    <col min="12542" max="12542" width="2.42578125" style="153" customWidth="1"/>
    <col min="12543" max="12543" width="6.85546875" style="153" customWidth="1"/>
    <col min="12544" max="12544" width="35.85546875" style="153" bestFit="1" customWidth="1"/>
    <col min="12545" max="12545" width="13.7109375" style="153" customWidth="1"/>
    <col min="12546" max="12546" width="6.85546875" style="153" customWidth="1"/>
    <col min="12547" max="12791" width="9.140625" style="153"/>
    <col min="12792" max="12792" width="6.42578125" style="153" customWidth="1"/>
    <col min="12793" max="12793" width="45.5703125" style="153" customWidth="1"/>
    <col min="12794" max="12796" width="17.85546875" style="153" customWidth="1"/>
    <col min="12797" max="12797" width="1.28515625" style="153" customWidth="1"/>
    <col min="12798" max="12798" width="2.42578125" style="153" customWidth="1"/>
    <col min="12799" max="12799" width="6.85546875" style="153" customWidth="1"/>
    <col min="12800" max="12800" width="35.85546875" style="153" bestFit="1" customWidth="1"/>
    <col min="12801" max="12801" width="13.7109375" style="153" customWidth="1"/>
    <col min="12802" max="12802" width="6.85546875" style="153" customWidth="1"/>
    <col min="12803" max="13047" width="9.140625" style="153"/>
    <col min="13048" max="13048" width="6.42578125" style="153" customWidth="1"/>
    <col min="13049" max="13049" width="45.5703125" style="153" customWidth="1"/>
    <col min="13050" max="13052" width="17.85546875" style="153" customWidth="1"/>
    <col min="13053" max="13053" width="1.28515625" style="153" customWidth="1"/>
    <col min="13054" max="13054" width="2.42578125" style="153" customWidth="1"/>
    <col min="13055" max="13055" width="6.85546875" style="153" customWidth="1"/>
    <col min="13056" max="13056" width="35.85546875" style="153" bestFit="1" customWidth="1"/>
    <col min="13057" max="13057" width="13.7109375" style="153" customWidth="1"/>
    <col min="13058" max="13058" width="6.85546875" style="153" customWidth="1"/>
    <col min="13059" max="13303" width="9.140625" style="153"/>
    <col min="13304" max="13304" width="6.42578125" style="153" customWidth="1"/>
    <col min="13305" max="13305" width="45.5703125" style="153" customWidth="1"/>
    <col min="13306" max="13308" width="17.85546875" style="153" customWidth="1"/>
    <col min="13309" max="13309" width="1.28515625" style="153" customWidth="1"/>
    <col min="13310" max="13310" width="2.42578125" style="153" customWidth="1"/>
    <col min="13311" max="13311" width="6.85546875" style="153" customWidth="1"/>
    <col min="13312" max="13312" width="35.85546875" style="153" bestFit="1" customWidth="1"/>
    <col min="13313" max="13313" width="13.7109375" style="153" customWidth="1"/>
    <col min="13314" max="13314" width="6.85546875" style="153" customWidth="1"/>
    <col min="13315" max="13559" width="9.140625" style="153"/>
    <col min="13560" max="13560" width="6.42578125" style="153" customWidth="1"/>
    <col min="13561" max="13561" width="45.5703125" style="153" customWidth="1"/>
    <col min="13562" max="13564" width="17.85546875" style="153" customWidth="1"/>
    <col min="13565" max="13565" width="1.28515625" style="153" customWidth="1"/>
    <col min="13566" max="13566" width="2.42578125" style="153" customWidth="1"/>
    <col min="13567" max="13567" width="6.85546875" style="153" customWidth="1"/>
    <col min="13568" max="13568" width="35.85546875" style="153" bestFit="1" customWidth="1"/>
    <col min="13569" max="13569" width="13.7109375" style="153" customWidth="1"/>
    <col min="13570" max="13570" width="6.85546875" style="153" customWidth="1"/>
    <col min="13571" max="13815" width="9.140625" style="153"/>
    <col min="13816" max="13816" width="6.42578125" style="153" customWidth="1"/>
    <col min="13817" max="13817" width="45.5703125" style="153" customWidth="1"/>
    <col min="13818" max="13820" width="17.85546875" style="153" customWidth="1"/>
    <col min="13821" max="13821" width="1.28515625" style="153" customWidth="1"/>
    <col min="13822" max="13822" width="2.42578125" style="153" customWidth="1"/>
    <col min="13823" max="13823" width="6.85546875" style="153" customWidth="1"/>
    <col min="13824" max="13824" width="35.85546875" style="153" bestFit="1" customWidth="1"/>
    <col min="13825" max="13825" width="13.7109375" style="153" customWidth="1"/>
    <col min="13826" max="13826" width="6.85546875" style="153" customWidth="1"/>
    <col min="13827" max="14071" width="9.140625" style="153"/>
    <col min="14072" max="14072" width="6.42578125" style="153" customWidth="1"/>
    <col min="14073" max="14073" width="45.5703125" style="153" customWidth="1"/>
    <col min="14074" max="14076" width="17.85546875" style="153" customWidth="1"/>
    <col min="14077" max="14077" width="1.28515625" style="153" customWidth="1"/>
    <col min="14078" max="14078" width="2.42578125" style="153" customWidth="1"/>
    <col min="14079" max="14079" width="6.85546875" style="153" customWidth="1"/>
    <col min="14080" max="14080" width="35.85546875" style="153" bestFit="1" customWidth="1"/>
    <col min="14081" max="14081" width="13.7109375" style="153" customWidth="1"/>
    <col min="14082" max="14082" width="6.85546875" style="153" customWidth="1"/>
    <col min="14083" max="14327" width="9.140625" style="153"/>
    <col min="14328" max="14328" width="6.42578125" style="153" customWidth="1"/>
    <col min="14329" max="14329" width="45.5703125" style="153" customWidth="1"/>
    <col min="14330" max="14332" width="17.85546875" style="153" customWidth="1"/>
    <col min="14333" max="14333" width="1.28515625" style="153" customWidth="1"/>
    <col min="14334" max="14334" width="2.42578125" style="153" customWidth="1"/>
    <col min="14335" max="14335" width="6.85546875" style="153" customWidth="1"/>
    <col min="14336" max="14336" width="35.85546875" style="153" bestFit="1" customWidth="1"/>
    <col min="14337" max="14337" width="13.7109375" style="153" customWidth="1"/>
    <col min="14338" max="14338" width="6.85546875" style="153" customWidth="1"/>
    <col min="14339" max="14583" width="9.140625" style="153"/>
    <col min="14584" max="14584" width="6.42578125" style="153" customWidth="1"/>
    <col min="14585" max="14585" width="45.5703125" style="153" customWidth="1"/>
    <col min="14586" max="14588" width="17.85546875" style="153" customWidth="1"/>
    <col min="14589" max="14589" width="1.28515625" style="153" customWidth="1"/>
    <col min="14590" max="14590" width="2.42578125" style="153" customWidth="1"/>
    <col min="14591" max="14591" width="6.85546875" style="153" customWidth="1"/>
    <col min="14592" max="14592" width="35.85546875" style="153" bestFit="1" customWidth="1"/>
    <col min="14593" max="14593" width="13.7109375" style="153" customWidth="1"/>
    <col min="14594" max="14594" width="6.85546875" style="153" customWidth="1"/>
    <col min="14595" max="14839" width="9.140625" style="153"/>
    <col min="14840" max="14840" width="6.42578125" style="153" customWidth="1"/>
    <col min="14841" max="14841" width="45.5703125" style="153" customWidth="1"/>
    <col min="14842" max="14844" width="17.85546875" style="153" customWidth="1"/>
    <col min="14845" max="14845" width="1.28515625" style="153" customWidth="1"/>
    <col min="14846" max="14846" width="2.42578125" style="153" customWidth="1"/>
    <col min="14847" max="14847" width="6.85546875" style="153" customWidth="1"/>
    <col min="14848" max="14848" width="35.85546875" style="153" bestFit="1" customWidth="1"/>
    <col min="14849" max="14849" width="13.7109375" style="153" customWidth="1"/>
    <col min="14850" max="14850" width="6.85546875" style="153" customWidth="1"/>
    <col min="14851" max="15095" width="9.140625" style="153"/>
    <col min="15096" max="15096" width="6.42578125" style="153" customWidth="1"/>
    <col min="15097" max="15097" width="45.5703125" style="153" customWidth="1"/>
    <col min="15098" max="15100" width="17.85546875" style="153" customWidth="1"/>
    <col min="15101" max="15101" width="1.28515625" style="153" customWidth="1"/>
    <col min="15102" max="15102" width="2.42578125" style="153" customWidth="1"/>
    <col min="15103" max="15103" width="6.85546875" style="153" customWidth="1"/>
    <col min="15104" max="15104" width="35.85546875" style="153" bestFit="1" customWidth="1"/>
    <col min="15105" max="15105" width="13.7109375" style="153" customWidth="1"/>
    <col min="15106" max="15106" width="6.85546875" style="153" customWidth="1"/>
    <col min="15107" max="15351" width="9.140625" style="153"/>
    <col min="15352" max="15352" width="6.42578125" style="153" customWidth="1"/>
    <col min="15353" max="15353" width="45.5703125" style="153" customWidth="1"/>
    <col min="15354" max="15356" width="17.85546875" style="153" customWidth="1"/>
    <col min="15357" max="15357" width="1.28515625" style="153" customWidth="1"/>
    <col min="15358" max="15358" width="2.42578125" style="153" customWidth="1"/>
    <col min="15359" max="15359" width="6.85546875" style="153" customWidth="1"/>
    <col min="15360" max="15360" width="35.85546875" style="153" bestFit="1" customWidth="1"/>
    <col min="15361" max="15361" width="13.7109375" style="153" customWidth="1"/>
    <col min="15362" max="15362" width="6.85546875" style="153" customWidth="1"/>
    <col min="15363" max="15607" width="9.140625" style="153"/>
    <col min="15608" max="15608" width="6.42578125" style="153" customWidth="1"/>
    <col min="15609" max="15609" width="45.5703125" style="153" customWidth="1"/>
    <col min="15610" max="15612" width="17.85546875" style="153" customWidth="1"/>
    <col min="15613" max="15613" width="1.28515625" style="153" customWidth="1"/>
    <col min="15614" max="15614" width="2.42578125" style="153" customWidth="1"/>
    <col min="15615" max="15615" width="6.85546875" style="153" customWidth="1"/>
    <col min="15616" max="15616" width="35.85546875" style="153" bestFit="1" customWidth="1"/>
    <col min="15617" max="15617" width="13.7109375" style="153" customWidth="1"/>
    <col min="15618" max="15618" width="6.85546875" style="153" customWidth="1"/>
    <col min="15619" max="15863" width="9.140625" style="153"/>
    <col min="15864" max="15864" width="6.42578125" style="153" customWidth="1"/>
    <col min="15865" max="15865" width="45.5703125" style="153" customWidth="1"/>
    <col min="15866" max="15868" width="17.85546875" style="153" customWidth="1"/>
    <col min="15869" max="15869" width="1.28515625" style="153" customWidth="1"/>
    <col min="15870" max="15870" width="2.42578125" style="153" customWidth="1"/>
    <col min="15871" max="15871" width="6.85546875" style="153" customWidth="1"/>
    <col min="15872" max="15872" width="35.85546875" style="153" bestFit="1" customWidth="1"/>
    <col min="15873" max="15873" width="13.7109375" style="153" customWidth="1"/>
    <col min="15874" max="15874" width="6.85546875" style="153" customWidth="1"/>
    <col min="15875" max="16119" width="9.140625" style="153"/>
    <col min="16120" max="16120" width="6.42578125" style="153" customWidth="1"/>
    <col min="16121" max="16121" width="45.5703125" style="153" customWidth="1"/>
    <col min="16122" max="16124" width="17.85546875" style="153" customWidth="1"/>
    <col min="16125" max="16125" width="1.28515625" style="153" customWidth="1"/>
    <col min="16126" max="16126" width="2.42578125" style="153" customWidth="1"/>
    <col min="16127" max="16127" width="6.85546875" style="153" customWidth="1"/>
    <col min="16128" max="16128" width="35.85546875" style="153" bestFit="1" customWidth="1"/>
    <col min="16129" max="16129" width="13.7109375" style="153" customWidth="1"/>
    <col min="16130" max="16130" width="6.85546875" style="153" customWidth="1"/>
    <col min="16131" max="16384" width="9.140625" style="153"/>
  </cols>
  <sheetData>
    <row r="1" spans="1:247" ht="18">
      <c r="C1" s="1156" t="s">
        <v>1712</v>
      </c>
    </row>
    <row r="2" spans="1:247" s="154" customFormat="1" ht="18" hidden="1" customHeight="1">
      <c r="A2" s="1229" t="s">
        <v>93</v>
      </c>
      <c r="B2" s="1229"/>
      <c r="C2" s="1229"/>
      <c r="D2" s="1244"/>
      <c r="E2" s="1244"/>
      <c r="F2" s="1244"/>
      <c r="G2" s="1244"/>
      <c r="H2" s="1244"/>
      <c r="I2" s="1244"/>
      <c r="J2" s="1244"/>
      <c r="K2" s="1244"/>
      <c r="L2" s="1244"/>
      <c r="M2" s="1244"/>
      <c r="N2" s="1244"/>
      <c r="O2" s="1244"/>
      <c r="P2" s="1244"/>
      <c r="Q2" s="1244"/>
      <c r="R2" s="1244"/>
      <c r="S2" s="1244"/>
      <c r="T2" s="1244"/>
      <c r="U2" s="1244"/>
      <c r="V2" s="1244"/>
      <c r="W2" s="1244"/>
      <c r="X2" s="1244"/>
      <c r="Y2" s="1244"/>
      <c r="Z2" s="1244"/>
      <c r="AA2" s="1244"/>
      <c r="AB2" s="1244"/>
      <c r="AC2" s="1244"/>
      <c r="AD2" s="1244"/>
      <c r="AE2" s="1244"/>
      <c r="AF2" s="1244"/>
      <c r="AG2" s="1244"/>
      <c r="AH2" s="1244"/>
      <c r="AI2" s="1244"/>
      <c r="AJ2" s="1244"/>
      <c r="AK2" s="1244"/>
      <c r="AL2" s="1244"/>
      <c r="AM2" s="1244"/>
      <c r="AN2" s="1244"/>
      <c r="AO2" s="1244"/>
      <c r="AP2" s="1244"/>
      <c r="AQ2" s="1244"/>
      <c r="AR2" s="1244"/>
      <c r="AS2" s="1244"/>
      <c r="AT2" s="1244"/>
      <c r="AU2" s="1244"/>
      <c r="AV2" s="1244"/>
      <c r="AW2" s="1244"/>
      <c r="AX2" s="1244"/>
      <c r="AY2" s="1244"/>
      <c r="AZ2" s="1244"/>
      <c r="BA2" s="1244"/>
      <c r="BB2" s="1244"/>
      <c r="BC2" s="1244"/>
      <c r="BD2" s="1244"/>
      <c r="BE2" s="1244"/>
      <c r="BF2" s="1244"/>
      <c r="BG2" s="1244"/>
      <c r="BH2" s="1244"/>
      <c r="BI2" s="1244"/>
      <c r="BJ2" s="1244"/>
      <c r="BK2" s="1244"/>
      <c r="BL2" s="1244"/>
      <c r="BM2" s="1244"/>
      <c r="BN2" s="1244"/>
      <c r="BO2" s="1244"/>
      <c r="BP2" s="1244"/>
      <c r="BQ2" s="1244"/>
      <c r="BR2" s="1244"/>
      <c r="BS2" s="1244"/>
      <c r="BT2" s="1244"/>
      <c r="BU2" s="1244"/>
      <c r="BV2" s="1244"/>
      <c r="BW2" s="1244"/>
      <c r="BX2" s="1244"/>
      <c r="BY2" s="1244"/>
      <c r="BZ2" s="1244"/>
      <c r="CA2" s="1244"/>
      <c r="CB2" s="1244"/>
      <c r="CC2" s="1244"/>
      <c r="CD2" s="1244"/>
      <c r="CE2" s="1244"/>
      <c r="CF2" s="1244"/>
      <c r="CG2" s="1244"/>
      <c r="CH2" s="1244"/>
      <c r="CI2" s="1244"/>
      <c r="CJ2" s="1244"/>
      <c r="CK2" s="1244"/>
      <c r="CL2" s="1244"/>
      <c r="CM2" s="1244"/>
      <c r="CN2" s="1244"/>
      <c r="CO2" s="1244"/>
      <c r="CP2" s="1244"/>
      <c r="CQ2" s="1244"/>
      <c r="CR2" s="1244"/>
      <c r="CS2" s="1244"/>
      <c r="CT2" s="1244"/>
      <c r="CU2" s="1244"/>
      <c r="CV2" s="1244"/>
      <c r="CW2" s="1244"/>
      <c r="CX2" s="1244"/>
      <c r="CY2" s="1244"/>
      <c r="CZ2" s="1244"/>
      <c r="DA2" s="1244"/>
      <c r="DB2" s="1244"/>
      <c r="DC2" s="1244"/>
      <c r="DD2" s="1244"/>
      <c r="DE2" s="1244"/>
      <c r="DF2" s="1244"/>
      <c r="DG2" s="1244"/>
      <c r="DH2" s="1244"/>
      <c r="DI2" s="1244"/>
      <c r="DJ2" s="1244"/>
      <c r="DK2" s="1244"/>
      <c r="DL2" s="1244"/>
      <c r="DM2" s="1244"/>
      <c r="DN2" s="1244"/>
      <c r="DO2" s="1244"/>
      <c r="DP2" s="1244"/>
      <c r="DQ2" s="1244"/>
      <c r="DR2" s="1244"/>
      <c r="DS2" s="1244"/>
      <c r="DT2" s="1244"/>
      <c r="DU2" s="1244"/>
      <c r="DV2" s="1244"/>
      <c r="DW2" s="1244"/>
      <c r="DX2" s="1244"/>
      <c r="DY2" s="1244"/>
      <c r="DZ2" s="1244"/>
      <c r="EA2" s="1244"/>
      <c r="EB2" s="1244"/>
      <c r="EC2" s="1244"/>
      <c r="ED2" s="1244"/>
      <c r="EE2" s="1244"/>
      <c r="EF2" s="1244"/>
      <c r="EG2" s="1244"/>
      <c r="EH2" s="1244"/>
      <c r="EI2" s="1244"/>
      <c r="EJ2" s="1244"/>
      <c r="EK2" s="1244"/>
      <c r="EL2" s="1244"/>
      <c r="EM2" s="1244"/>
      <c r="EN2" s="1244"/>
      <c r="EO2" s="1244"/>
      <c r="EP2" s="1244"/>
      <c r="EQ2" s="1244"/>
      <c r="ER2" s="1244"/>
      <c r="ES2" s="1244"/>
      <c r="ET2" s="1244"/>
      <c r="EU2" s="1244"/>
      <c r="EV2" s="1244"/>
      <c r="EW2" s="1244"/>
      <c r="EX2" s="1244"/>
      <c r="EY2" s="1244"/>
      <c r="EZ2" s="1244"/>
      <c r="FA2" s="1244"/>
      <c r="FB2" s="1244"/>
      <c r="FC2" s="1244"/>
      <c r="FD2" s="1244"/>
      <c r="FE2" s="1244"/>
      <c r="FF2" s="1244"/>
      <c r="FG2" s="1244"/>
      <c r="FH2" s="1244"/>
      <c r="FI2" s="1244"/>
      <c r="FJ2" s="1244"/>
      <c r="FK2" s="1244"/>
      <c r="FL2" s="1244"/>
      <c r="FM2" s="1244"/>
      <c r="FN2" s="1244"/>
      <c r="FO2" s="1244"/>
      <c r="FP2" s="1244"/>
      <c r="FQ2" s="1244"/>
      <c r="FR2" s="1244"/>
      <c r="FS2" s="1244"/>
      <c r="FT2" s="1244"/>
      <c r="FU2" s="1244"/>
      <c r="FV2" s="1244"/>
      <c r="FW2" s="1244"/>
      <c r="FX2" s="1244"/>
      <c r="FY2" s="1244"/>
      <c r="FZ2" s="1244"/>
      <c r="GA2" s="1244"/>
      <c r="GB2" s="1244"/>
      <c r="GC2" s="1244"/>
      <c r="GD2" s="1244"/>
      <c r="GE2" s="1244"/>
      <c r="GF2" s="1244"/>
      <c r="GG2" s="1244"/>
      <c r="GH2" s="1244"/>
      <c r="GI2" s="1244"/>
      <c r="GJ2" s="1244"/>
      <c r="GK2" s="1244"/>
      <c r="GL2" s="1244"/>
      <c r="GM2" s="1244"/>
      <c r="GN2" s="1244"/>
      <c r="GO2" s="1244"/>
      <c r="GP2" s="1244"/>
      <c r="GQ2" s="1244"/>
      <c r="GR2" s="1244"/>
      <c r="GS2" s="1244"/>
      <c r="GT2" s="1244"/>
      <c r="GU2" s="1244"/>
      <c r="GV2" s="1244"/>
      <c r="GW2" s="1244"/>
      <c r="GX2" s="1244"/>
      <c r="GY2" s="1244"/>
      <c r="GZ2" s="1244"/>
      <c r="HA2" s="1244"/>
      <c r="HB2" s="1244"/>
      <c r="HC2" s="1244"/>
      <c r="HD2" s="1244"/>
      <c r="HE2" s="1244"/>
      <c r="HF2" s="1244"/>
      <c r="HG2" s="1244"/>
      <c r="HH2" s="1244"/>
      <c r="HI2" s="1244"/>
      <c r="HJ2" s="1244"/>
      <c r="HK2" s="1244"/>
      <c r="HL2" s="1244"/>
      <c r="HM2" s="1244"/>
      <c r="HN2" s="1244"/>
      <c r="HO2" s="1244"/>
      <c r="HP2" s="1244"/>
      <c r="HQ2" s="1244"/>
      <c r="HR2" s="1244"/>
      <c r="HS2" s="1244"/>
      <c r="HT2" s="1244"/>
      <c r="HU2" s="1244"/>
      <c r="HV2" s="1244"/>
      <c r="HW2" s="1244"/>
      <c r="HX2" s="1244"/>
      <c r="HY2" s="1244"/>
      <c r="HZ2" s="1244"/>
      <c r="IA2" s="1244"/>
      <c r="IB2" s="1244"/>
      <c r="IC2" s="1244"/>
      <c r="ID2" s="1244"/>
      <c r="IE2" s="1244"/>
      <c r="IF2" s="1244"/>
      <c r="IG2" s="1244"/>
      <c r="IH2" s="1244"/>
      <c r="II2" s="1244"/>
      <c r="IJ2" s="1244"/>
      <c r="IK2" s="1244"/>
      <c r="IL2" s="1244"/>
      <c r="IM2" s="1244"/>
    </row>
    <row r="3" spans="1:247" s="154" customFormat="1" ht="39.75" hidden="1" customHeight="1">
      <c r="A3" s="1260" t="s">
        <v>1207</v>
      </c>
      <c r="B3" s="1260"/>
      <c r="C3" s="1260"/>
      <c r="D3" s="4"/>
      <c r="E3" s="4"/>
      <c r="F3" s="4"/>
      <c r="G3" s="4"/>
      <c r="H3" s="4"/>
      <c r="I3" s="4"/>
    </row>
    <row r="4" spans="1:247" s="154" customFormat="1" ht="2.25" hidden="1" customHeight="1">
      <c r="A4" s="155"/>
      <c r="B4" s="155"/>
      <c r="C4" s="5"/>
      <c r="D4" s="4"/>
      <c r="E4" s="4"/>
      <c r="F4" s="4"/>
      <c r="G4" s="4"/>
      <c r="H4" s="4"/>
      <c r="I4" s="4"/>
    </row>
    <row r="5" spans="1:247" s="154" customFormat="1" ht="9.9499999999999993" hidden="1" customHeight="1">
      <c r="A5" s="155"/>
      <c r="B5" s="155"/>
      <c r="C5" s="5"/>
      <c r="D5" s="4"/>
      <c r="E5" s="4"/>
      <c r="F5" s="4"/>
      <c r="G5" s="4"/>
      <c r="H5" s="4"/>
      <c r="I5" s="4"/>
    </row>
    <row r="6" spans="1:247" s="154" customFormat="1" ht="2.25" customHeight="1">
      <c r="A6" s="155"/>
      <c r="B6" s="155"/>
      <c r="C6" s="5"/>
      <c r="D6" s="4"/>
      <c r="E6" s="4"/>
      <c r="F6" s="4"/>
      <c r="G6" s="4"/>
      <c r="H6" s="4"/>
      <c r="I6" s="4"/>
    </row>
    <row r="7" spans="1:247" s="156" customFormat="1" ht="21" customHeight="1">
      <c r="A7" s="1234" t="s">
        <v>1507</v>
      </c>
      <c r="B7" s="1235"/>
      <c r="C7" s="1235"/>
    </row>
    <row r="8" spans="1:247" s="156" customFormat="1" ht="12.75" customHeight="1">
      <c r="A8" s="157"/>
      <c r="B8" s="158"/>
      <c r="C8" s="1030" t="s">
        <v>866</v>
      </c>
    </row>
    <row r="9" spans="1:247" s="183" customFormat="1" ht="16.5" customHeight="1">
      <c r="A9" s="1230" t="s">
        <v>1713</v>
      </c>
      <c r="B9" s="1230"/>
      <c r="C9" s="1231" t="s">
        <v>1714</v>
      </c>
    </row>
    <row r="10" spans="1:247" s="184" customFormat="1" ht="21.75" customHeight="1">
      <c r="A10" s="1230"/>
      <c r="B10" s="1230"/>
      <c r="C10" s="1231"/>
      <c r="K10" s="185"/>
    </row>
    <row r="11" spans="1:247" s="8" customFormat="1" ht="15" hidden="1" customHeight="1">
      <c r="A11" s="1227" t="s">
        <v>815</v>
      </c>
      <c r="B11" s="1228"/>
      <c r="C11" s="318"/>
    </row>
    <row r="12" spans="1:247" s="8" customFormat="1" ht="5.25" customHeight="1">
      <c r="A12" s="1246"/>
      <c r="B12" s="1247"/>
      <c r="C12" s="1248"/>
    </row>
    <row r="13" spans="1:247" s="159" customFormat="1" ht="17.25" customHeight="1">
      <c r="A13" s="1237" t="s">
        <v>1723</v>
      </c>
      <c r="B13" s="1238"/>
      <c r="C13" s="1170">
        <v>1725.4638579999998</v>
      </c>
      <c r="H13" s="848"/>
    </row>
    <row r="14" spans="1:247" s="8" customFormat="1" ht="15" customHeight="1">
      <c r="A14" s="421" t="s">
        <v>96</v>
      </c>
      <c r="B14" s="160" t="s">
        <v>97</v>
      </c>
      <c r="C14" s="1175">
        <v>1359.45</v>
      </c>
      <c r="F14" s="847"/>
      <c r="H14" s="694"/>
      <c r="I14" s="846"/>
      <c r="J14" s="846"/>
    </row>
    <row r="15" spans="1:247" s="8" customFormat="1" ht="15" customHeight="1">
      <c r="A15" s="890" t="s">
        <v>98</v>
      </c>
      <c r="B15" s="160" t="s">
        <v>100</v>
      </c>
      <c r="C15" s="1175">
        <v>55.768858000000002</v>
      </c>
      <c r="E15" s="846"/>
      <c r="H15" s="847"/>
      <c r="I15" s="846"/>
      <c r="J15" s="847"/>
    </row>
    <row r="16" spans="1:247" s="8" customFormat="1" ht="15" customHeight="1">
      <c r="A16" s="890" t="s">
        <v>99</v>
      </c>
      <c r="B16" s="892" t="s">
        <v>1433</v>
      </c>
      <c r="C16" s="1175">
        <v>71.55</v>
      </c>
      <c r="F16" s="1166"/>
      <c r="H16" s="336"/>
    </row>
    <row r="17" spans="1:8" s="8" customFormat="1" ht="15" customHeight="1">
      <c r="A17" s="890" t="s">
        <v>101</v>
      </c>
      <c r="B17" s="891" t="s">
        <v>102</v>
      </c>
      <c r="C17" s="1190">
        <v>238.69499999999999</v>
      </c>
      <c r="E17" s="846"/>
      <c r="H17" s="336"/>
    </row>
    <row r="18" spans="1:8" s="162" customFormat="1" ht="15" hidden="1">
      <c r="A18" s="1249"/>
      <c r="B18" s="1250"/>
      <c r="C18" s="1251"/>
    </row>
    <row r="19" spans="1:8" s="161" customFormat="1" ht="24.75" customHeight="1">
      <c r="A19" s="1242" t="s">
        <v>1715</v>
      </c>
      <c r="B19" s="1243"/>
      <c r="C19" s="1211"/>
      <c r="D19" s="1212"/>
      <c r="F19" s="1068"/>
      <c r="H19" s="849"/>
    </row>
    <row r="20" spans="1:8" s="161" customFormat="1" ht="15" customHeight="1">
      <c r="A20" s="1211" t="s">
        <v>1728</v>
      </c>
      <c r="B20" s="1212"/>
      <c r="C20" s="1172">
        <v>1849.5345000000002</v>
      </c>
      <c r="F20" s="1068"/>
      <c r="H20" s="849"/>
    </row>
    <row r="21" spans="1:8" ht="15" customHeight="1">
      <c r="A21" s="421" t="s">
        <v>96</v>
      </c>
      <c r="B21" s="1193" t="s">
        <v>105</v>
      </c>
      <c r="C21" s="1173">
        <v>410.67399999999998</v>
      </c>
      <c r="H21" s="697"/>
    </row>
    <row r="22" spans="1:8" ht="15" customHeight="1">
      <c r="A22" s="890" t="s">
        <v>98</v>
      </c>
      <c r="B22" s="1193" t="s">
        <v>887</v>
      </c>
      <c r="C22" s="1173">
        <v>1320.9933000000003</v>
      </c>
    </row>
    <row r="23" spans="1:8" ht="15" customHeight="1">
      <c r="A23" s="890" t="s">
        <v>99</v>
      </c>
      <c r="B23" s="1193" t="s">
        <v>888</v>
      </c>
      <c r="C23" s="1173">
        <v>117.8672</v>
      </c>
    </row>
    <row r="24" spans="1:8" ht="15" customHeight="1">
      <c r="A24" s="418"/>
      <c r="B24" s="419" t="s">
        <v>1724</v>
      </c>
      <c r="C24" s="1174">
        <v>1849.5345000000002</v>
      </c>
    </row>
    <row r="25" spans="1:8" s="8" customFormat="1" ht="15" hidden="1" customHeight="1">
      <c r="A25" s="421" t="s">
        <v>106</v>
      </c>
      <c r="B25" s="160" t="s">
        <v>107</v>
      </c>
      <c r="C25" s="1175"/>
    </row>
    <row r="26" spans="1:8" s="8" customFormat="1" ht="15" hidden="1" customHeight="1">
      <c r="A26" s="421" t="s">
        <v>108</v>
      </c>
      <c r="B26" s="160" t="s">
        <v>109</v>
      </c>
      <c r="C26" s="1176"/>
    </row>
    <row r="27" spans="1:8" s="8" customFormat="1" ht="25.5" hidden="1">
      <c r="A27" s="421" t="s">
        <v>101</v>
      </c>
      <c r="B27" s="160" t="s">
        <v>110</v>
      </c>
      <c r="C27" s="1176"/>
    </row>
    <row r="28" spans="1:8" s="8" customFormat="1" ht="25.5" hidden="1">
      <c r="A28" s="421" t="s">
        <v>103</v>
      </c>
      <c r="B28" s="160" t="s">
        <v>111</v>
      </c>
      <c r="C28" s="1176"/>
    </row>
    <row r="29" spans="1:8" ht="15" customHeight="1">
      <c r="A29" s="1252" t="s">
        <v>1729</v>
      </c>
      <c r="B29" s="1220"/>
      <c r="C29" s="1177">
        <v>305.47570000000002</v>
      </c>
      <c r="E29" s="850"/>
      <c r="G29" s="850"/>
    </row>
    <row r="30" spans="1:8" ht="15" customHeight="1">
      <c r="A30" s="421" t="s">
        <v>96</v>
      </c>
      <c r="B30" s="160" t="s">
        <v>112</v>
      </c>
      <c r="C30" s="1178">
        <v>40.5</v>
      </c>
    </row>
    <row r="31" spans="1:8" ht="15" customHeight="1">
      <c r="A31" s="890" t="s">
        <v>98</v>
      </c>
      <c r="B31" s="160" t="s">
        <v>113</v>
      </c>
      <c r="C31" s="1178">
        <v>5.5</v>
      </c>
    </row>
    <row r="32" spans="1:8" ht="15" hidden="1" customHeight="1">
      <c r="A32" s="890" t="s">
        <v>99</v>
      </c>
      <c r="B32" s="160" t="s">
        <v>114</v>
      </c>
      <c r="C32" s="1179"/>
    </row>
    <row r="33" spans="1:9" ht="15" hidden="1" customHeight="1">
      <c r="A33" s="421" t="s">
        <v>96</v>
      </c>
      <c r="B33" s="160" t="s">
        <v>115</v>
      </c>
      <c r="C33" s="1179"/>
    </row>
    <row r="34" spans="1:9" ht="15" hidden="1" customHeight="1">
      <c r="A34" s="890" t="s">
        <v>98</v>
      </c>
      <c r="B34" s="160" t="s">
        <v>116</v>
      </c>
      <c r="C34" s="1179"/>
    </row>
    <row r="35" spans="1:9" ht="15" customHeight="1">
      <c r="A35" s="890" t="s">
        <v>99</v>
      </c>
      <c r="B35" s="160" t="s">
        <v>117</v>
      </c>
      <c r="C35" s="1178">
        <v>259.47570000000002</v>
      </c>
    </row>
    <row r="36" spans="1:9" ht="15" customHeight="1">
      <c r="A36" s="1219" t="s">
        <v>1725</v>
      </c>
      <c r="B36" s="1220"/>
      <c r="C36" s="1180">
        <v>50</v>
      </c>
    </row>
    <row r="37" spans="1:9" ht="15" customHeight="1">
      <c r="A37" s="1219" t="s">
        <v>1726</v>
      </c>
      <c r="B37" s="1220"/>
      <c r="C37" s="1180">
        <v>50</v>
      </c>
    </row>
    <row r="38" spans="1:9" s="8" customFormat="1" ht="15" customHeight="1">
      <c r="A38" s="1240" t="s">
        <v>1727</v>
      </c>
      <c r="B38" s="1241"/>
      <c r="C38" s="1171">
        <v>2255.0102000000002</v>
      </c>
      <c r="D38" s="336"/>
      <c r="H38" s="847"/>
    </row>
    <row r="39" spans="1:9" s="8" customFormat="1" ht="8.1" customHeight="1">
      <c r="A39" s="1216"/>
      <c r="B39" s="1217"/>
      <c r="C39" s="1218"/>
    </row>
    <row r="40" spans="1:9" s="162" customFormat="1" ht="17.25" customHeight="1">
      <c r="A40" s="1232" t="s">
        <v>118</v>
      </c>
      <c r="B40" s="1233"/>
      <c r="C40" s="1181">
        <v>3980.4740579999998</v>
      </c>
      <c r="F40" s="1153"/>
    </row>
    <row r="41" spans="1:9" s="162" customFormat="1" ht="5.0999999999999996" customHeight="1">
      <c r="A41" s="1213"/>
      <c r="B41" s="1214"/>
      <c r="C41" s="1215"/>
    </row>
    <row r="42" spans="1:9" s="162" customFormat="1" ht="21.95" customHeight="1">
      <c r="A42" s="1254" t="s">
        <v>1718</v>
      </c>
      <c r="B42" s="1255"/>
      <c r="C42" s="1182">
        <v>4204.4007959999999</v>
      </c>
    </row>
    <row r="43" spans="1:9" ht="18.95" customHeight="1">
      <c r="A43" s="420" t="s">
        <v>95</v>
      </c>
      <c r="B43" s="433" t="s">
        <v>119</v>
      </c>
      <c r="C43" s="1183">
        <v>952.03274599999997</v>
      </c>
    </row>
    <row r="44" spans="1:9" ht="18.95" customHeight="1">
      <c r="A44" s="421" t="s">
        <v>98</v>
      </c>
      <c r="B44" s="434" t="s">
        <v>120</v>
      </c>
      <c r="C44" s="1184">
        <v>97.888666000000001</v>
      </c>
    </row>
    <row r="45" spans="1:9" ht="18.95" customHeight="1">
      <c r="A45" s="421" t="s">
        <v>99</v>
      </c>
      <c r="B45" s="434" t="s">
        <v>121</v>
      </c>
      <c r="C45" s="1184">
        <v>384.31473599999998</v>
      </c>
      <c r="G45" s="850"/>
      <c r="H45" s="850"/>
    </row>
    <row r="46" spans="1:9" ht="20.100000000000001" customHeight="1">
      <c r="A46" s="421" t="s">
        <v>101</v>
      </c>
      <c r="B46" s="435" t="s">
        <v>870</v>
      </c>
      <c r="C46" s="1184">
        <v>598.60204799999997</v>
      </c>
      <c r="G46" s="850"/>
      <c r="H46" s="850"/>
    </row>
    <row r="47" spans="1:9" ht="18.95" customHeight="1">
      <c r="A47" s="421" t="s">
        <v>103</v>
      </c>
      <c r="B47" s="434" t="s">
        <v>122</v>
      </c>
      <c r="C47" s="1184">
        <v>93.655100000000004</v>
      </c>
    </row>
    <row r="48" spans="1:9" ht="18.95" customHeight="1">
      <c r="A48" s="421" t="s">
        <v>104</v>
      </c>
      <c r="B48" s="917" t="s">
        <v>1436</v>
      </c>
      <c r="C48" s="1184">
        <v>1119.8473000000001</v>
      </c>
      <c r="E48" s="850"/>
      <c r="F48" s="850"/>
      <c r="G48" s="850"/>
      <c r="H48" s="850"/>
      <c r="I48" s="850"/>
    </row>
    <row r="49" spans="1:11" ht="18.95" customHeight="1">
      <c r="A49" s="421" t="s">
        <v>123</v>
      </c>
      <c r="B49" s="435" t="s">
        <v>1437</v>
      </c>
      <c r="C49" s="1184">
        <v>740.45630000000006</v>
      </c>
    </row>
    <row r="50" spans="1:11" ht="18.95" customHeight="1">
      <c r="A50" s="421" t="s">
        <v>719</v>
      </c>
      <c r="B50" s="434" t="s">
        <v>124</v>
      </c>
      <c r="C50" s="1184">
        <v>45.471000000000004</v>
      </c>
      <c r="I50" s="850"/>
    </row>
    <row r="51" spans="1:11" ht="18.95" customHeight="1">
      <c r="A51" s="421" t="s">
        <v>1435</v>
      </c>
      <c r="B51" s="917" t="s">
        <v>1506</v>
      </c>
      <c r="C51" s="1185">
        <v>100.13290000000001</v>
      </c>
      <c r="F51" s="850"/>
      <c r="G51" s="850"/>
      <c r="I51" s="674"/>
      <c r="J51" s="697"/>
    </row>
    <row r="52" spans="1:11" ht="18.95" customHeight="1">
      <c r="A52" s="421" t="s">
        <v>1442</v>
      </c>
      <c r="B52" s="551" t="s">
        <v>1441</v>
      </c>
      <c r="C52" s="1185">
        <v>71.5</v>
      </c>
      <c r="G52" s="850"/>
      <c r="J52" s="850"/>
    </row>
    <row r="53" spans="1:11" ht="18.95" customHeight="1">
      <c r="A53" s="421" t="s">
        <v>1443</v>
      </c>
      <c r="B53" s="1158" t="s">
        <v>1703</v>
      </c>
      <c r="C53" s="1186">
        <v>0.5</v>
      </c>
      <c r="F53" s="850"/>
    </row>
    <row r="54" spans="1:11" s="163" customFormat="1" ht="6" customHeight="1">
      <c r="A54" s="1224"/>
      <c r="B54" s="1225"/>
      <c r="C54" s="1226"/>
    </row>
    <row r="55" spans="1:11" s="8" customFormat="1" ht="21" customHeight="1">
      <c r="A55" s="1236" t="s">
        <v>1730</v>
      </c>
      <c r="B55" s="1236"/>
      <c r="C55" s="1187">
        <v>2126.4932960000001</v>
      </c>
      <c r="F55" s="1161"/>
      <c r="G55" s="846"/>
      <c r="K55" s="847"/>
    </row>
    <row r="56" spans="1:11" s="8" customFormat="1" ht="21" customHeight="1">
      <c r="A56" s="1236" t="s">
        <v>1731</v>
      </c>
      <c r="B56" s="1236"/>
      <c r="C56" s="1187">
        <v>2077.9075000000003</v>
      </c>
      <c r="G56" s="847"/>
      <c r="H56" s="735"/>
      <c r="K56" s="735"/>
    </row>
    <row r="57" spans="1:11" ht="21" customHeight="1">
      <c r="A57" s="1253" t="s">
        <v>125</v>
      </c>
      <c r="B57" s="1253"/>
      <c r="C57" s="1187">
        <v>4204.4007959999999</v>
      </c>
      <c r="G57" s="850"/>
    </row>
    <row r="58" spans="1:11" s="163" customFormat="1" ht="6" customHeight="1">
      <c r="A58" s="1224"/>
      <c r="B58" s="1225"/>
      <c r="C58" s="1226"/>
    </row>
    <row r="59" spans="1:11" s="163" customFormat="1" ht="6" customHeight="1">
      <c r="A59" s="911"/>
      <c r="B59" s="912"/>
      <c r="C59" s="913"/>
    </row>
    <row r="60" spans="1:11" s="163" customFormat="1" ht="18" customHeight="1">
      <c r="A60" s="1239" t="s">
        <v>126</v>
      </c>
      <c r="B60" s="1239"/>
      <c r="C60" s="1187">
        <v>-223.92673800000011</v>
      </c>
      <c r="H60" s="1164"/>
      <c r="I60" s="1163"/>
      <c r="J60" s="1165"/>
    </row>
    <row r="61" spans="1:11" s="184" customFormat="1" ht="18" customHeight="1">
      <c r="A61" s="1245" t="s">
        <v>1275</v>
      </c>
      <c r="B61" s="1245"/>
      <c r="C61" s="696">
        <v>-619.423</v>
      </c>
      <c r="H61" s="1057"/>
      <c r="I61" s="1057"/>
      <c r="J61" s="1152"/>
    </row>
    <row r="62" spans="1:11" s="184" customFormat="1" ht="18" customHeight="1">
      <c r="A62" s="1245" t="s">
        <v>1276</v>
      </c>
      <c r="B62" s="1245"/>
      <c r="C62" s="695">
        <v>-843.34973800000012</v>
      </c>
      <c r="I62" s="1151"/>
    </row>
    <row r="63" spans="1:11" s="184" customFormat="1" ht="18" customHeight="1">
      <c r="A63" s="1257" t="s">
        <v>1732</v>
      </c>
      <c r="B63" s="1258"/>
      <c r="C63" s="1259"/>
      <c r="H63" s="1151"/>
    </row>
    <row r="64" spans="1:11" s="184" customFormat="1" ht="18" customHeight="1">
      <c r="A64" s="698">
        <v>1</v>
      </c>
      <c r="B64" s="699" t="s">
        <v>1277</v>
      </c>
      <c r="C64" s="1188">
        <v>76.632400000000004</v>
      </c>
    </row>
    <row r="65" spans="1:6" s="184" customFormat="1" ht="18" customHeight="1">
      <c r="A65" s="698" t="s">
        <v>1278</v>
      </c>
      <c r="B65" s="699" t="s">
        <v>1291</v>
      </c>
      <c r="C65" s="1188">
        <v>3.0613000000000001</v>
      </c>
      <c r="F65" s="1151"/>
    </row>
    <row r="66" spans="1:6" s="184" customFormat="1" ht="18" customHeight="1">
      <c r="A66" s="698" t="s">
        <v>1438</v>
      </c>
      <c r="B66" s="699" t="s">
        <v>1279</v>
      </c>
      <c r="C66" s="1188">
        <v>318.38866180000002</v>
      </c>
    </row>
    <row r="67" spans="1:6" s="184" customFormat="1" ht="18" customHeight="1">
      <c r="A67" s="700"/>
      <c r="B67" s="701" t="s">
        <v>1439</v>
      </c>
      <c r="C67" s="1189">
        <v>-238.69496180000002</v>
      </c>
    </row>
    <row r="68" spans="1:6" s="184" customFormat="1" ht="18" customHeight="1">
      <c r="A68" s="700"/>
      <c r="B68" s="701" t="s">
        <v>1280</v>
      </c>
      <c r="C68" s="1189">
        <v>-1082.0446998000002</v>
      </c>
      <c r="F68" s="1152"/>
    </row>
    <row r="69" spans="1:6" ht="9" customHeight="1">
      <c r="A69" s="1221"/>
      <c r="B69" s="1222"/>
      <c r="C69" s="1223"/>
    </row>
    <row r="70" spans="1:6" ht="15.95" hidden="1" customHeight="1">
      <c r="A70" s="182" t="s">
        <v>127</v>
      </c>
      <c r="B70" s="179" t="s">
        <v>128</v>
      </c>
      <c r="C70" s="181"/>
    </row>
    <row r="71" spans="1:6" ht="15.95" hidden="1" customHeight="1">
      <c r="A71" s="182" t="s">
        <v>129</v>
      </c>
      <c r="B71" s="179" t="s">
        <v>867</v>
      </c>
      <c r="C71" s="181">
        <v>229.56899999999999</v>
      </c>
    </row>
    <row r="72" spans="1:6" s="8" customFormat="1" ht="15.95" hidden="1" customHeight="1">
      <c r="A72" s="182" t="s">
        <v>130</v>
      </c>
      <c r="B72" s="179" t="s">
        <v>868</v>
      </c>
      <c r="C72" s="181">
        <v>4.7969999999999997</v>
      </c>
    </row>
    <row r="73" spans="1:6" s="8" customFormat="1" ht="15.95" hidden="1" customHeight="1">
      <c r="A73" s="182" t="s">
        <v>875</v>
      </c>
      <c r="B73" s="179" t="s">
        <v>869</v>
      </c>
      <c r="C73" s="181">
        <v>22.739979999999999</v>
      </c>
    </row>
    <row r="74" spans="1:6" s="8" customFormat="1" ht="15.95" hidden="1" customHeight="1">
      <c r="A74" s="1261" t="s">
        <v>1706</v>
      </c>
      <c r="B74" s="1261"/>
      <c r="C74" s="1167"/>
    </row>
    <row r="75" spans="1:6" s="8" customFormat="1" ht="15.95" hidden="1" customHeight="1">
      <c r="A75" s="1261" t="s">
        <v>1710</v>
      </c>
      <c r="B75" s="1261"/>
      <c r="C75" s="1167"/>
    </row>
    <row r="76" spans="1:6" s="8" customFormat="1" ht="15.95" hidden="1" customHeight="1">
      <c r="A76" s="1261" t="s">
        <v>1707</v>
      </c>
      <c r="B76" s="1261"/>
      <c r="C76" s="1167"/>
    </row>
    <row r="77" spans="1:6" s="8" customFormat="1" ht="15.95" hidden="1" customHeight="1">
      <c r="A77" s="1261" t="s">
        <v>1708</v>
      </c>
      <c r="B77" s="1261"/>
      <c r="C77" s="1167"/>
    </row>
    <row r="78" spans="1:6" s="8" customFormat="1" ht="15.95" hidden="1" customHeight="1">
      <c r="A78" s="1262" t="s">
        <v>136</v>
      </c>
      <c r="B78" s="1262"/>
      <c r="C78" s="1167"/>
    </row>
    <row r="79" spans="1:6" s="8" customFormat="1" ht="15.95" hidden="1" customHeight="1">
      <c r="A79" s="1256" t="s">
        <v>1709</v>
      </c>
      <c r="B79" s="1256"/>
      <c r="C79" s="1256"/>
    </row>
    <row r="81" spans="3:3">
      <c r="C81" s="850"/>
    </row>
  </sheetData>
  <mergeCells count="72">
    <mergeCell ref="A74:B74"/>
    <mergeCell ref="A75:B75"/>
    <mergeCell ref="A76:B76"/>
    <mergeCell ref="A77:B77"/>
    <mergeCell ref="A78:B78"/>
    <mergeCell ref="A79:C79"/>
    <mergeCell ref="A63:C63"/>
    <mergeCell ref="EP2:EV2"/>
    <mergeCell ref="IJ2:IM2"/>
    <mergeCell ref="A3:C3"/>
    <mergeCell ref="GT2:GZ2"/>
    <mergeCell ref="HA2:HG2"/>
    <mergeCell ref="HH2:HN2"/>
    <mergeCell ref="HO2:HU2"/>
    <mergeCell ref="HV2:IB2"/>
    <mergeCell ref="IC2:II2"/>
    <mergeCell ref="FD2:FJ2"/>
    <mergeCell ref="FK2:FQ2"/>
    <mergeCell ref="FR2:FX2"/>
    <mergeCell ref="FY2:GE2"/>
    <mergeCell ref="CZ2:DF2"/>
    <mergeCell ref="EB2:EH2"/>
    <mergeCell ref="EI2:EO2"/>
    <mergeCell ref="A61:B61"/>
    <mergeCell ref="A62:B62"/>
    <mergeCell ref="GF2:GL2"/>
    <mergeCell ref="AO2:AU2"/>
    <mergeCell ref="AV2:BB2"/>
    <mergeCell ref="BC2:BI2"/>
    <mergeCell ref="A12:C12"/>
    <mergeCell ref="A18:C18"/>
    <mergeCell ref="A58:C58"/>
    <mergeCell ref="CS2:CY2"/>
    <mergeCell ref="A29:B29"/>
    <mergeCell ref="A57:B57"/>
    <mergeCell ref="A56:B56"/>
    <mergeCell ref="A42:B42"/>
    <mergeCell ref="GM2:GS2"/>
    <mergeCell ref="EW2:FC2"/>
    <mergeCell ref="DG2:DM2"/>
    <mergeCell ref="DU2:EA2"/>
    <mergeCell ref="D2:E2"/>
    <mergeCell ref="F2:L2"/>
    <mergeCell ref="M2:S2"/>
    <mergeCell ref="T2:Z2"/>
    <mergeCell ref="DN2:DT2"/>
    <mergeCell ref="AA2:AG2"/>
    <mergeCell ref="BQ2:BW2"/>
    <mergeCell ref="BX2:CD2"/>
    <mergeCell ref="CE2:CK2"/>
    <mergeCell ref="CL2:CR2"/>
    <mergeCell ref="BJ2:BP2"/>
    <mergeCell ref="AH2:AN2"/>
    <mergeCell ref="A69:C69"/>
    <mergeCell ref="A54:C54"/>
    <mergeCell ref="A11:B11"/>
    <mergeCell ref="A2:C2"/>
    <mergeCell ref="A9:B10"/>
    <mergeCell ref="A40:B40"/>
    <mergeCell ref="C9:C10"/>
    <mergeCell ref="A7:C7"/>
    <mergeCell ref="A55:B55"/>
    <mergeCell ref="A13:B13"/>
    <mergeCell ref="A60:B60"/>
    <mergeCell ref="A38:B38"/>
    <mergeCell ref="A19:B19"/>
    <mergeCell ref="A20:B20"/>
    <mergeCell ref="C19:D19"/>
    <mergeCell ref="A41:C41"/>
    <mergeCell ref="A39:C39"/>
    <mergeCell ref="A36:B36"/>
    <mergeCell ref="A37:B37"/>
  </mergeCells>
  <dataValidations disablePrompts="1" count="1">
    <dataValidation type="decimal" operator="greaterThan" allowBlank="1" showInputMessage="1" showErrorMessage="1" error="Input only positive Number if Negative input 0" prompt="Input only positive Number if Negative input 0" sqref="C11">
      <formula1>-0.001</formula1>
    </dataValidation>
  </dataValidations>
  <printOptions horizontalCentered="1"/>
  <pageMargins left="0.45" right="0.45" top="0.25" bottom="0.2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FF648"/>
    <pageSetUpPr fitToPage="1"/>
  </sheetPr>
  <dimension ref="A1:BZ75"/>
  <sheetViews>
    <sheetView view="pageBreakPreview" topLeftCell="A19" zoomScaleSheetLayoutView="100" workbookViewId="0">
      <selection activeCell="G37" sqref="G37"/>
    </sheetView>
  </sheetViews>
  <sheetFormatPr defaultRowHeight="15.75"/>
  <cols>
    <col min="1" max="1" width="48.85546875" style="277" customWidth="1"/>
    <col min="2" max="4" width="13.7109375" style="277" customWidth="1"/>
    <col min="5" max="78" width="9.140625" style="292"/>
    <col min="79" max="16384" width="9.140625" style="277"/>
  </cols>
  <sheetData>
    <row r="1" spans="1:78">
      <c r="D1" s="556" t="s">
        <v>931</v>
      </c>
    </row>
    <row r="2" spans="1:78" ht="23.25">
      <c r="A2" s="1263" t="s">
        <v>777</v>
      </c>
      <c r="B2" s="1263"/>
      <c r="C2" s="1263"/>
      <c r="D2" s="1263"/>
    </row>
    <row r="3" spans="1:78" ht="11.25" customHeight="1"/>
    <row r="4" spans="1:78" ht="12.75" customHeight="1"/>
    <row r="5" spans="1:78">
      <c r="A5" s="1265" t="s">
        <v>1509</v>
      </c>
      <c r="B5" s="1265"/>
      <c r="C5" s="1265"/>
      <c r="D5" s="1265"/>
    </row>
    <row r="6" spans="1:78" ht="12" customHeight="1">
      <c r="A6" s="247"/>
      <c r="B6" s="523"/>
      <c r="C6" s="523"/>
      <c r="D6" s="523"/>
    </row>
    <row r="7" spans="1:78" ht="28.5" customHeight="1">
      <c r="A7" s="319" t="s">
        <v>775</v>
      </c>
      <c r="B7" s="320" t="s">
        <v>1219</v>
      </c>
      <c r="C7" s="320" t="s">
        <v>1209</v>
      </c>
      <c r="D7" s="320" t="s">
        <v>1198</v>
      </c>
      <c r="E7" s="530" t="s">
        <v>964</v>
      </c>
    </row>
    <row r="8" spans="1:78" ht="15" customHeight="1">
      <c r="A8" s="1264"/>
      <c r="B8" s="1264"/>
      <c r="C8" s="1264"/>
      <c r="D8" s="1264"/>
    </row>
    <row r="9" spans="1:78" ht="18" customHeight="1">
      <c r="A9" s="286" t="s">
        <v>797</v>
      </c>
      <c r="B9" s="585">
        <f>IFERROR(B10+B11,"-")</f>
        <v>0</v>
      </c>
      <c r="C9" s="585">
        <f>IFERROR(C10+C11,"-")</f>
        <v>0</v>
      </c>
      <c r="D9" s="585">
        <f>IFERROR(D10+D11,"-")</f>
        <v>0</v>
      </c>
      <c r="E9" s="1267"/>
    </row>
    <row r="10" spans="1:78" ht="15.95" customHeight="1">
      <c r="A10" s="304" t="s">
        <v>853</v>
      </c>
      <c r="B10" s="586">
        <f>IFERROR(ROUND('Anx-I'!#REF!*1000000/'102(a)'!$B$29,0),0)</f>
        <v>0</v>
      </c>
      <c r="C10" s="586">
        <f>IFERROR(ROUND('Anx-I'!#REF!*1000000/'102(a)'!$C$29,0),0)</f>
        <v>0</v>
      </c>
      <c r="D10" s="586">
        <f>IFERROR(ROUND('Anx-I'!#REF!*1000000/'102(a)'!$D$29,0),0)</f>
        <v>0</v>
      </c>
      <c r="E10" s="1267"/>
    </row>
    <row r="11" spans="1:78" ht="15.95" customHeight="1">
      <c r="A11" s="304" t="s">
        <v>854</v>
      </c>
      <c r="B11" s="586"/>
      <c r="C11" s="586"/>
      <c r="D11" s="586"/>
      <c r="E11" s="1267"/>
    </row>
    <row r="12" spans="1:78" ht="8.1" customHeight="1">
      <c r="A12" s="278"/>
      <c r="B12" s="278"/>
      <c r="C12" s="278"/>
      <c r="D12" s="278"/>
    </row>
    <row r="13" spans="1:78" ht="18" customHeight="1">
      <c r="A13" s="346" t="s">
        <v>798</v>
      </c>
      <c r="B13" s="587" t="str">
        <f>IFERROR(ROUND((('Anx-I'!#REF!+'Anx-I'!#REF!)*1000000)/B29,0),"-")</f>
        <v>-</v>
      </c>
      <c r="C13" s="587" t="str">
        <f>IFERROR(ROUND((('Anx-I'!#REF!+'Anx-I'!#REF!)*1000000)/C29,0),"-")</f>
        <v>-</v>
      </c>
      <c r="D13" s="587" t="str">
        <f>IFERROR(ROUND((('Anx-I'!#REF!+'Anx-I'!#REF!)*1000000)/D29,0),"-")</f>
        <v>-</v>
      </c>
      <c r="E13" s="531"/>
    </row>
    <row r="14" spans="1:78" s="305" customFormat="1" ht="6.95" customHeight="1">
      <c r="B14" s="422"/>
      <c r="C14" s="422"/>
      <c r="D14" s="422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</row>
    <row r="15" spans="1:78" ht="18" customHeight="1">
      <c r="A15" s="347" t="s">
        <v>805</v>
      </c>
      <c r="B15" s="594" t="str">
        <f>IFERROR(('Anx-I'!#REF!*1000000)/'102(a)'!B29,"-")</f>
        <v>-</v>
      </c>
      <c r="C15" s="594" t="str">
        <f>IFERROR(('Anx-I'!#REF!*1000000)/'102(a)'!C29,"-")</f>
        <v>-</v>
      </c>
      <c r="D15" s="594" t="str">
        <f>IFERROR(('Anx-I'!#REF!*1000000)/'102(a)'!D29,"-")</f>
        <v>-</v>
      </c>
      <c r="E15" s="531"/>
    </row>
    <row r="16" spans="1:78" s="305" customFormat="1" ht="6.95" customHeight="1">
      <c r="B16" s="423"/>
      <c r="C16" s="423"/>
      <c r="D16" s="423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  <c r="BP16" s="306"/>
      <c r="BQ16" s="306"/>
      <c r="BR16" s="306"/>
      <c r="BS16" s="306"/>
      <c r="BT16" s="306"/>
      <c r="BU16" s="306"/>
      <c r="BV16" s="306"/>
      <c r="BW16" s="306"/>
      <c r="BX16" s="306"/>
      <c r="BY16" s="306"/>
      <c r="BZ16" s="306"/>
    </row>
    <row r="17" spans="1:78" ht="18" customHeight="1">
      <c r="A17" s="348" t="s">
        <v>799</v>
      </c>
      <c r="B17" s="587" t="str">
        <f>IFERROR(ROUND(('Anx-I'!#REF!*1000000)/'102(a)'!B29,0),"-")</f>
        <v>-</v>
      </c>
      <c r="C17" s="587" t="str">
        <f>IFERROR(ROUND(('Anx-I'!#REF!*1000000)/'102(a)'!C29,0),"-")</f>
        <v>-</v>
      </c>
      <c r="D17" s="587" t="str">
        <f>IFERROR(ROUND(('Anx-I'!#REF!*1000000)/'102(a)'!D29,0),"-")</f>
        <v>-</v>
      </c>
      <c r="E17" s="531"/>
    </row>
    <row r="18" spans="1:78" ht="15" customHeight="1"/>
    <row r="19" spans="1:78" ht="18" customHeight="1">
      <c r="A19" s="287" t="s">
        <v>852</v>
      </c>
      <c r="B19" s="588" t="str">
        <f>IFERROR(ROUND(('Anx-I'!#REF!*1000000)/B29,0),"-")</f>
        <v>-</v>
      </c>
      <c r="C19" s="588" t="str">
        <f>IFERROR(ROUND(('Anx-I'!#REF!*1000000)/C29,0),"-")</f>
        <v>-</v>
      </c>
      <c r="D19" s="588" t="str">
        <f>IFERROR(ROUND(('Anx-I'!#REF!*1000000)/D29,0),"-")</f>
        <v>-</v>
      </c>
      <c r="E19" s="531"/>
    </row>
    <row r="20" spans="1:78" ht="15" customHeight="1"/>
    <row r="21" spans="1:78" ht="18" customHeight="1">
      <c r="A21" s="288" t="s">
        <v>778</v>
      </c>
      <c r="B21" s="589">
        <f>B22+B23</f>
        <v>572</v>
      </c>
      <c r="C21" s="589">
        <f>C22+C23</f>
        <v>521</v>
      </c>
      <c r="D21" s="589">
        <f>D22+D23</f>
        <v>521</v>
      </c>
      <c r="E21" s="1268"/>
    </row>
    <row r="22" spans="1:78" ht="15" customHeight="1">
      <c r="A22" s="296" t="s">
        <v>793</v>
      </c>
      <c r="B22" s="590">
        <f>+'106'!D46+'106'!E46</f>
        <v>259</v>
      </c>
      <c r="C22" s="590">
        <f>+'106'!E33+'106'!D33</f>
        <v>312</v>
      </c>
      <c r="D22" s="590">
        <f>+'106'!D20+'106'!E20</f>
        <v>312</v>
      </c>
      <c r="E22" s="1268"/>
    </row>
    <row r="23" spans="1:78" ht="15" customHeight="1">
      <c r="A23" s="296" t="s">
        <v>792</v>
      </c>
      <c r="B23" s="590">
        <f>+'106'!F46+'106'!G46</f>
        <v>313</v>
      </c>
      <c r="C23" s="590">
        <f>+'106'!G33+'106'!F33</f>
        <v>209</v>
      </c>
      <c r="D23" s="590">
        <f>+'106'!F20+'106'!G20</f>
        <v>209</v>
      </c>
      <c r="E23" s="1268"/>
    </row>
    <row r="24" spans="1:78" ht="18" customHeight="1">
      <c r="A24" s="289" t="s">
        <v>779</v>
      </c>
      <c r="B24" s="589">
        <f>B25+B26+B27</f>
        <v>2170</v>
      </c>
      <c r="C24" s="589">
        <f>C25+C26+C27</f>
        <v>1427</v>
      </c>
      <c r="D24" s="589">
        <f>D25+D26+D27</f>
        <v>1427</v>
      </c>
      <c r="E24" s="1268"/>
      <c r="F24" s="811">
        <f>+B24+B21</f>
        <v>2742</v>
      </c>
      <c r="G24" s="811">
        <f>+C24+C21</f>
        <v>1948</v>
      </c>
      <c r="H24" s="811">
        <f>+D24+D21</f>
        <v>1948</v>
      </c>
      <c r="I24" s="811">
        <f>+E24+E21</f>
        <v>0</v>
      </c>
    </row>
    <row r="25" spans="1:78" ht="15" customHeight="1">
      <c r="A25" s="296" t="s">
        <v>794</v>
      </c>
      <c r="B25" s="590">
        <f>+'106(a)'!B16</f>
        <v>178</v>
      </c>
      <c r="C25" s="590">
        <f>+'106(a)'!H16</f>
        <v>130</v>
      </c>
      <c r="D25" s="590">
        <f>+'106(a)'!N16</f>
        <v>130</v>
      </c>
      <c r="E25" s="1268"/>
    </row>
    <row r="26" spans="1:78" ht="15" customHeight="1">
      <c r="A26" s="296" t="s">
        <v>796</v>
      </c>
      <c r="B26" s="590">
        <f>+'106(a)'!B28</f>
        <v>1105</v>
      </c>
      <c r="C26" s="590">
        <f>+'106(a)'!H28</f>
        <v>786</v>
      </c>
      <c r="D26" s="590">
        <f>+'106(a)'!N28</f>
        <v>786</v>
      </c>
      <c r="E26" s="1268"/>
    </row>
    <row r="27" spans="1:78" ht="15" customHeight="1">
      <c r="A27" s="296" t="s">
        <v>795</v>
      </c>
      <c r="B27" s="590">
        <f>+'106(a)'!B34</f>
        <v>887</v>
      </c>
      <c r="C27" s="590">
        <f>+'106(a)'!H34</f>
        <v>511</v>
      </c>
      <c r="D27" s="590">
        <f>+'106(a)'!N34</f>
        <v>511</v>
      </c>
      <c r="E27" s="1268"/>
    </row>
    <row r="28" spans="1:78" s="278" customFormat="1" ht="15" customHeight="1">
      <c r="A28" s="279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6"/>
      <c r="BR28" s="306"/>
      <c r="BS28" s="306"/>
      <c r="BT28" s="306"/>
      <c r="BU28" s="306"/>
      <c r="BV28" s="306"/>
      <c r="BW28" s="306"/>
      <c r="BX28" s="306"/>
      <c r="BY28" s="306"/>
      <c r="BZ28" s="306"/>
    </row>
    <row r="29" spans="1:78" s="662" customFormat="1" ht="20.100000000000001" customHeight="1">
      <c r="A29" s="660" t="s">
        <v>780</v>
      </c>
      <c r="B29" s="591">
        <f>B30+B31+B32+B33</f>
        <v>13916</v>
      </c>
      <c r="C29" s="591">
        <f>C30+C31+C32+C33</f>
        <v>15035</v>
      </c>
      <c r="D29" s="591">
        <f>D30+D31+D32+D33</f>
        <v>16534.3</v>
      </c>
      <c r="E29" s="1268"/>
      <c r="F29" s="661"/>
      <c r="G29" s="661"/>
      <c r="H29" s="805">
        <f>+B29-C29</f>
        <v>-1119</v>
      </c>
      <c r="I29" s="661"/>
      <c r="J29" s="661"/>
      <c r="K29" s="661"/>
      <c r="L29" s="899">
        <f>+'107 (a)'!Z120</f>
        <v>14961</v>
      </c>
      <c r="M29" s="661"/>
      <c r="N29" s="899">
        <f>+'107 (c)'!Z120</f>
        <v>16455.300000000003</v>
      </c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/>
      <c r="AP29" s="661"/>
      <c r="AQ29" s="661"/>
      <c r="AR29" s="661"/>
      <c r="AS29" s="661"/>
      <c r="AT29" s="661"/>
      <c r="AU29" s="661"/>
      <c r="AV29" s="661"/>
      <c r="AW29" s="661"/>
      <c r="AX29" s="661"/>
      <c r="AY29" s="661"/>
      <c r="AZ29" s="661"/>
      <c r="BA29" s="661"/>
      <c r="BB29" s="661"/>
      <c r="BC29" s="661"/>
      <c r="BD29" s="661"/>
      <c r="BE29" s="661"/>
      <c r="BF29" s="661"/>
      <c r="BG29" s="661"/>
      <c r="BH29" s="661"/>
      <c r="BI29" s="661"/>
      <c r="BJ29" s="661"/>
      <c r="BK29" s="661"/>
      <c r="BL29" s="661"/>
      <c r="BM29" s="661"/>
      <c r="BN29" s="661"/>
      <c r="BO29" s="661"/>
      <c r="BP29" s="661"/>
      <c r="BQ29" s="661"/>
      <c r="BR29" s="661"/>
      <c r="BS29" s="661"/>
      <c r="BT29" s="661"/>
      <c r="BU29" s="661"/>
      <c r="BV29" s="661"/>
      <c r="BW29" s="661"/>
      <c r="BX29" s="661"/>
      <c r="BY29" s="661"/>
      <c r="BZ29" s="661"/>
    </row>
    <row r="30" spans="1:78" ht="15" customHeight="1">
      <c r="A30" s="295" t="s">
        <v>1189</v>
      </c>
      <c r="B30" s="592">
        <v>11896</v>
      </c>
      <c r="C30" s="593">
        <f>+'107 (a)'!I120+'107 (a)'!U120</f>
        <v>12630</v>
      </c>
      <c r="D30" s="593">
        <f>+'107 (c)'!I120+'107 (c)'!U120</f>
        <v>13891.199999999999</v>
      </c>
      <c r="E30" s="1268"/>
      <c r="H30" s="806">
        <f>+B30-C30</f>
        <v>-734</v>
      </c>
      <c r="I30" s="292">
        <v>1300</v>
      </c>
      <c r="J30" s="811">
        <f>+H30-I30</f>
        <v>-2034</v>
      </c>
      <c r="L30" s="900">
        <f>+L29-C29</f>
        <v>-74</v>
      </c>
      <c r="N30" s="811">
        <f>+D29-N29</f>
        <v>78.999999999996362</v>
      </c>
    </row>
    <row r="31" spans="1:78" ht="15" customHeight="1">
      <c r="A31" s="295" t="s">
        <v>1191</v>
      </c>
      <c r="B31" s="593">
        <v>1362</v>
      </c>
      <c r="C31" s="593">
        <f>+'107 (a)'!J120</f>
        <v>1579</v>
      </c>
      <c r="D31" s="593">
        <f>+'107 (c)'!J120</f>
        <v>1736.9000000000003</v>
      </c>
      <c r="E31" s="1268"/>
      <c r="H31" s="806">
        <f>+B31-C31</f>
        <v>-217</v>
      </c>
    </row>
    <row r="32" spans="1:78" ht="15" customHeight="1">
      <c r="A32" s="295" t="s">
        <v>1007</v>
      </c>
      <c r="B32" s="593">
        <v>482</v>
      </c>
      <c r="C32" s="593">
        <f>+'107 (a)'!K120</f>
        <v>752</v>
      </c>
      <c r="D32" s="593">
        <f>+'107 (c)'!K120</f>
        <v>827.2</v>
      </c>
      <c r="E32" s="1268"/>
      <c r="H32" s="806">
        <f>+B32-C32</f>
        <v>-270</v>
      </c>
    </row>
    <row r="33" spans="1:78" ht="15" customHeight="1">
      <c r="A33" s="295" t="s">
        <v>826</v>
      </c>
      <c r="B33" s="593">
        <v>176</v>
      </c>
      <c r="C33" s="593">
        <f>'107(e)'!G16</f>
        <v>74</v>
      </c>
      <c r="D33" s="593">
        <f>'107(e)'!I16</f>
        <v>79</v>
      </c>
      <c r="E33" s="1268"/>
      <c r="H33" s="806">
        <f>+B33-C33</f>
        <v>102</v>
      </c>
    </row>
    <row r="34" spans="1:78" s="278" customFormat="1" ht="9.75" customHeight="1">
      <c r="A34" s="326"/>
      <c r="B34" s="305"/>
      <c r="C34" s="305"/>
      <c r="D34" s="305"/>
      <c r="E34" s="306"/>
      <c r="F34" s="306"/>
      <c r="G34" s="306"/>
      <c r="H34" s="807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</row>
    <row r="35" spans="1:78" ht="20.100000000000001" customHeight="1">
      <c r="A35" s="659" t="s">
        <v>781</v>
      </c>
      <c r="B35" s="349"/>
      <c r="C35" s="349"/>
      <c r="D35" s="349"/>
      <c r="E35" s="532"/>
    </row>
    <row r="36" spans="1:78" s="278" customFormat="1" ht="9.75" customHeight="1">
      <c r="A36" s="279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/>
      <c r="BO36" s="306"/>
      <c r="BP36" s="306"/>
      <c r="BQ36" s="306"/>
      <c r="BR36" s="306"/>
      <c r="BS36" s="306"/>
      <c r="BT36" s="306"/>
      <c r="BU36" s="306"/>
      <c r="BV36" s="306"/>
      <c r="BW36" s="306"/>
      <c r="BX36" s="306"/>
      <c r="BY36" s="306"/>
      <c r="BZ36" s="306"/>
    </row>
    <row r="37" spans="1:78" s="662" customFormat="1" ht="20.100000000000001" customHeight="1">
      <c r="A37" s="663" t="s">
        <v>782</v>
      </c>
      <c r="B37" s="664"/>
      <c r="C37" s="664"/>
      <c r="D37" s="664"/>
      <c r="E37" s="661"/>
      <c r="F37" s="661"/>
      <c r="G37" s="661"/>
      <c r="H37" s="661"/>
      <c r="I37" s="661"/>
      <c r="J37" s="661"/>
      <c r="K37" s="661"/>
      <c r="L37" s="661"/>
      <c r="M37" s="661"/>
      <c r="N37" s="661"/>
      <c r="O37" s="661"/>
      <c r="P37" s="661"/>
      <c r="Q37" s="661"/>
      <c r="R37" s="661"/>
      <c r="S37" s="661"/>
      <c r="T37" s="661"/>
      <c r="U37" s="661"/>
      <c r="V37" s="661"/>
      <c r="W37" s="661"/>
      <c r="X37" s="661"/>
      <c r="Y37" s="661"/>
      <c r="Z37" s="661"/>
      <c r="AA37" s="661"/>
      <c r="AB37" s="661"/>
      <c r="AC37" s="661"/>
      <c r="AD37" s="661"/>
      <c r="AE37" s="661"/>
      <c r="AF37" s="661"/>
      <c r="AG37" s="661"/>
      <c r="AH37" s="661"/>
      <c r="AI37" s="661"/>
      <c r="AJ37" s="661"/>
      <c r="AK37" s="661"/>
      <c r="AL37" s="661"/>
      <c r="AM37" s="661"/>
      <c r="AN37" s="661"/>
      <c r="AO37" s="661"/>
      <c r="AP37" s="661"/>
      <c r="AQ37" s="661"/>
      <c r="AR37" s="661"/>
      <c r="AS37" s="661"/>
      <c r="AT37" s="661"/>
      <c r="AU37" s="661"/>
      <c r="AV37" s="661"/>
      <c r="AW37" s="661"/>
      <c r="AX37" s="661"/>
      <c r="AY37" s="661"/>
      <c r="AZ37" s="661"/>
      <c r="BA37" s="661"/>
      <c r="BB37" s="661"/>
      <c r="BC37" s="661"/>
      <c r="BD37" s="661"/>
      <c r="BE37" s="661"/>
      <c r="BF37" s="661"/>
      <c r="BG37" s="661"/>
      <c r="BH37" s="661"/>
      <c r="BI37" s="661"/>
      <c r="BJ37" s="661"/>
      <c r="BK37" s="661"/>
      <c r="BL37" s="661"/>
      <c r="BM37" s="661"/>
      <c r="BN37" s="661"/>
      <c r="BO37" s="661"/>
      <c r="BP37" s="661"/>
      <c r="BQ37" s="661"/>
      <c r="BR37" s="661"/>
      <c r="BS37" s="661"/>
      <c r="BT37" s="661"/>
      <c r="BU37" s="661"/>
      <c r="BV37" s="661"/>
      <c r="BW37" s="661"/>
      <c r="BX37" s="661"/>
      <c r="BY37" s="661"/>
      <c r="BZ37" s="661"/>
    </row>
    <row r="38" spans="1:78" ht="15" customHeight="1">
      <c r="A38" s="294" t="s">
        <v>784</v>
      </c>
      <c r="B38" s="350" t="str">
        <f>IFERROR(CONCATENATE("1", " ", ":", " ", ROUND(B24/B21,1)),"-")</f>
        <v>1 : 3.8</v>
      </c>
      <c r="C38" s="350" t="str">
        <f>IFERROR(CONCATENATE("1", " ", ":", " ", ROUND(C24/C21,1)),"-")</f>
        <v>1 : 2.7</v>
      </c>
      <c r="D38" s="350" t="str">
        <f>IFERROR(CONCATENATE("1", " ", ":", " ", ROUND(D24/D21,1)),"-")</f>
        <v>1 : 2.7</v>
      </c>
      <c r="E38" s="532"/>
    </row>
    <row r="39" spans="1:78" ht="15" customHeight="1">
      <c r="A39" s="294" t="s">
        <v>785</v>
      </c>
      <c r="B39" s="350" t="str">
        <f>IFERROR(CONCATENATE("1", " ", ":", " ", ROUND(B29/B21,0)),"-")</f>
        <v>1 : 24</v>
      </c>
      <c r="C39" s="350" t="str">
        <f>IFERROR(CONCATENATE("1", " ", ":", " ", ROUND(C29/C21,0)),"-")</f>
        <v>1 : 29</v>
      </c>
      <c r="D39" s="350" t="str">
        <f>IFERROR(CONCATENATE("1", " ", ":", " ", ROUND(D29/D21,0)),"-")</f>
        <v>1 : 32</v>
      </c>
      <c r="E39" s="532"/>
    </row>
    <row r="40" spans="1:78" ht="15" customHeight="1">
      <c r="A40" s="294" t="s">
        <v>786</v>
      </c>
      <c r="B40" s="529" t="str">
        <f>IFERROR('Anx-I'!#REF!/'Anx-I'!#REF!,"-")</f>
        <v>-</v>
      </c>
      <c r="C40" s="529" t="str">
        <f>IFERROR('Anx-I'!#REF!/'Anx-I'!#REF!,"-")</f>
        <v>-</v>
      </c>
      <c r="D40" s="529" t="str">
        <f>IFERROR('Anx-I'!#REF!/'Anx-I'!#REF!,"-")</f>
        <v>-</v>
      </c>
      <c r="E40" s="532"/>
    </row>
    <row r="41" spans="1:78" ht="15" customHeight="1">
      <c r="A41" s="294" t="s">
        <v>787</v>
      </c>
      <c r="B41" s="529" t="str">
        <f>IFERROR('Anx-I'!#REF!/'Anx-I'!#REF!,"-")</f>
        <v>-</v>
      </c>
      <c r="C41" s="529" t="str">
        <f>IFERROR('Anx-I'!#REF!/'Anx-I'!#REF!,"-")</f>
        <v>-</v>
      </c>
      <c r="D41" s="529" t="str">
        <f>IFERROR('Anx-I'!#REF!/'Anx-I'!#REF!,"-")</f>
        <v>-</v>
      </c>
      <c r="E41" s="532"/>
    </row>
    <row r="42" spans="1:78" ht="15" customHeight="1">
      <c r="A42" s="294" t="s">
        <v>788</v>
      </c>
      <c r="B42" s="529" t="str">
        <f>IFERROR(('Anx-I'!#REF!+'Anx-I'!#REF!+'Anx-I'!#REF!)/'Anx-I'!#REF!,"-")</f>
        <v>-</v>
      </c>
      <c r="C42" s="529" t="str">
        <f>IFERROR(('Anx-I'!#REF!+'Anx-I'!#REF!+'Anx-I'!#REF!)/'Anx-I'!#REF!,"-")</f>
        <v>-</v>
      </c>
      <c r="D42" s="529" t="str">
        <f>IFERROR(('Anx-I'!#REF!+'Anx-I'!#REF!+'Anx-I'!#REF!)/'Anx-I'!#REF!,"-")</f>
        <v>-</v>
      </c>
      <c r="E42" s="532"/>
    </row>
    <row r="43" spans="1:78" ht="15" customHeight="1">
      <c r="A43" s="294" t="s">
        <v>889</v>
      </c>
      <c r="B43" s="529" t="str">
        <f>IFERROR(B17/B9,"-")</f>
        <v>-</v>
      </c>
      <c r="C43" s="529" t="str">
        <f>IFERROR(C17/C9,"-")</f>
        <v>-</v>
      </c>
      <c r="D43" s="529" t="str">
        <f>IFERROR(D17/D9,"-")</f>
        <v>-</v>
      </c>
      <c r="E43" s="532"/>
    </row>
    <row r="44" spans="1:78" ht="15" customHeight="1">
      <c r="A44" s="294" t="s">
        <v>789</v>
      </c>
      <c r="B44" s="529" t="str">
        <f>IFERROR('Anx-I'!#REF!/'Anx-I'!#REF!,"-")</f>
        <v>-</v>
      </c>
      <c r="C44" s="529" t="str">
        <f>IFERROR('Anx-I'!#REF!/'Anx-I'!#REF!,"-")</f>
        <v>-</v>
      </c>
      <c r="D44" s="529" t="str">
        <f>IFERROR('Anx-I'!#REF!/'Anx-I'!#REF!,"-")</f>
        <v>-</v>
      </c>
      <c r="E44" s="532"/>
    </row>
    <row r="45" spans="1:78" ht="15" customHeight="1">
      <c r="A45" s="294" t="s">
        <v>790</v>
      </c>
      <c r="B45" s="529" t="str">
        <f>IFERROR('Anx-I'!#REF!/'Anx-I'!#REF!,"-")</f>
        <v>-</v>
      </c>
      <c r="C45" s="529" t="str">
        <f>IFERROR('Anx-I'!#REF!/'Anx-I'!#REF!,"-")</f>
        <v>-</v>
      </c>
      <c r="D45" s="529" t="str">
        <f>IFERROR('Anx-I'!#REF!/'Anx-I'!#REF!,"-")</f>
        <v>-</v>
      </c>
      <c r="E45" s="532"/>
    </row>
    <row r="46" spans="1:78" ht="15" customHeight="1">
      <c r="A46" s="1020" t="s">
        <v>1601</v>
      </c>
      <c r="B46" s="529" t="e">
        <f>+'Anx-I'!#REF!/'Anx-I'!#REF!</f>
        <v>#REF!</v>
      </c>
      <c r="C46" s="529" t="e">
        <f>+'Anx-I'!#REF!/'Anx-I'!#REF!</f>
        <v>#REF!</v>
      </c>
      <c r="D46" s="529">
        <f>+'Anx-I'!C48/'Anx-I'!C57</f>
        <v>0.26635122442784359</v>
      </c>
      <c r="E46" s="532"/>
    </row>
    <row r="47" spans="1:78" ht="15" customHeight="1">
      <c r="A47" s="294" t="s">
        <v>1602</v>
      </c>
      <c r="B47" s="529" t="e">
        <f>+'Anx-I'!#REF!/'Anx-I'!#REF!</f>
        <v>#REF!</v>
      </c>
      <c r="C47" s="529" t="e">
        <f>+'Anx-I'!#REF!/'Anx-I'!#REF!</f>
        <v>#REF!</v>
      </c>
      <c r="D47" s="529">
        <f>+'Anx-I'!C48/'Anx-I'!C56</f>
        <v>0.53893029405784421</v>
      </c>
      <c r="E47" s="532"/>
    </row>
    <row r="48" spans="1:78" ht="9.75" customHeight="1">
      <c r="A48" s="280"/>
    </row>
    <row r="49" spans="1:5">
      <c r="A49" s="298" t="s">
        <v>783</v>
      </c>
      <c r="B49" s="293"/>
      <c r="C49" s="293"/>
      <c r="D49" s="293"/>
    </row>
    <row r="50" spans="1:5" ht="15" customHeight="1">
      <c r="A50" s="297" t="s">
        <v>791</v>
      </c>
      <c r="B50" s="744" t="e">
        <f>+'Anx V'!#REF!</f>
        <v>#REF!</v>
      </c>
      <c r="C50" s="744" t="e">
        <f>+'Anx V'!#REF!</f>
        <v>#REF!</v>
      </c>
      <c r="D50" s="744">
        <f>+'Anx V'!C105</f>
        <v>1119.8473000000001</v>
      </c>
      <c r="E50" s="532"/>
    </row>
    <row r="51" spans="1:5" ht="15" customHeight="1">
      <c r="A51" s="297" t="s">
        <v>806</v>
      </c>
      <c r="B51" s="744">
        <v>16000</v>
      </c>
      <c r="C51" s="744">
        <f>+B51</f>
        <v>16000</v>
      </c>
      <c r="D51" s="744">
        <f>+C51</f>
        <v>16000</v>
      </c>
      <c r="E51" s="532"/>
    </row>
    <row r="52" spans="1:5" ht="15" customHeight="1">
      <c r="A52" s="297" t="s">
        <v>807</v>
      </c>
      <c r="B52" s="744">
        <v>250</v>
      </c>
      <c r="C52" s="744">
        <v>250</v>
      </c>
      <c r="D52" s="744">
        <v>200</v>
      </c>
      <c r="E52" s="532"/>
    </row>
    <row r="53" spans="1:5" ht="15" customHeight="1">
      <c r="A53" s="297" t="s">
        <v>808</v>
      </c>
      <c r="B53" s="744">
        <f>+B51-B52</f>
        <v>15750</v>
      </c>
      <c r="C53" s="744">
        <f t="shared" ref="C53:D53" si="0">+C51-C52</f>
        <v>15750</v>
      </c>
      <c r="D53" s="744">
        <f t="shared" si="0"/>
        <v>15800</v>
      </c>
      <c r="E53" s="532"/>
    </row>
    <row r="54" spans="1:5" ht="15" customHeight="1">
      <c r="A54" s="297" t="s">
        <v>809</v>
      </c>
      <c r="B54" s="744">
        <f>325042924/1000000</f>
        <v>325.04292400000003</v>
      </c>
      <c r="C54" s="744" t="e">
        <f>'Anx IV'!#REF!*0.333</f>
        <v>#REF!</v>
      </c>
      <c r="D54" s="744">
        <f>'Anx IV'!C24*0.333</f>
        <v>395.30378385</v>
      </c>
      <c r="E54" s="532"/>
    </row>
    <row r="55" spans="1:5" ht="15" customHeight="1">
      <c r="A55" s="291"/>
      <c r="B55" s="292"/>
      <c r="C55" s="292"/>
      <c r="D55" s="292"/>
    </row>
    <row r="56" spans="1:5" ht="15" customHeight="1">
      <c r="A56" s="291"/>
      <c r="B56" s="292"/>
      <c r="C56" s="292"/>
      <c r="D56" s="292"/>
    </row>
    <row r="57" spans="1:5" ht="15" customHeight="1">
      <c r="A57" s="291"/>
      <c r="B57" s="292"/>
      <c r="C57" s="292"/>
      <c r="D57" s="292"/>
    </row>
    <row r="58" spans="1:5">
      <c r="A58" s="281"/>
    </row>
    <row r="59" spans="1:5">
      <c r="A59" s="281"/>
      <c r="B59" s="1266" t="s">
        <v>776</v>
      </c>
      <c r="C59" s="1266"/>
      <c r="D59" s="1266"/>
    </row>
    <row r="60" spans="1:5">
      <c r="A60" s="281"/>
    </row>
    <row r="61" spans="1:5">
      <c r="A61" s="281"/>
    </row>
    <row r="62" spans="1:5">
      <c r="A62" s="280"/>
    </row>
    <row r="63" spans="1:5">
      <c r="A63" s="282"/>
    </row>
    <row r="64" spans="1:5">
      <c r="A64" s="281"/>
    </row>
    <row r="65" spans="1:1">
      <c r="A65" s="281"/>
    </row>
    <row r="66" spans="1:1">
      <c r="A66" s="281"/>
    </row>
    <row r="67" spans="1:1">
      <c r="A67" s="281"/>
    </row>
    <row r="69" spans="1:1">
      <c r="A69" s="283"/>
    </row>
    <row r="72" spans="1:1">
      <c r="A72" s="284"/>
    </row>
    <row r="73" spans="1:1">
      <c r="A73" s="284"/>
    </row>
    <row r="74" spans="1:1">
      <c r="A74" s="285"/>
    </row>
    <row r="75" spans="1:1">
      <c r="A75" s="281"/>
    </row>
  </sheetData>
  <sheetProtection formatCells="0" formatColumns="0" formatRows="0"/>
  <mergeCells count="8">
    <mergeCell ref="A2:D2"/>
    <mergeCell ref="A8:D8"/>
    <mergeCell ref="A5:D5"/>
    <mergeCell ref="B59:D59"/>
    <mergeCell ref="E9:E11"/>
    <mergeCell ref="E21:E23"/>
    <mergeCell ref="E24:E27"/>
    <mergeCell ref="E29:E33"/>
  </mergeCells>
  <dataValidations disablePrompts="1" count="4">
    <dataValidation allowBlank="1" showInputMessage="1" showErrorMessage="1" promptTitle="Actual Enrollment" prompt="Please mention the Actual Enrollment for the last FY 2016-17 in this column. Both under Regular and Self-Finance streams." sqref="B33 B30"/>
    <dataValidation allowBlank="1" showInputMessage="1" showErrorMessage="1" prompt="Calculates automatically.  Don't insert value or delete the formulae" sqref="B10:D11"/>
    <dataValidation allowBlank="1" showInputMessage="1" showErrorMessage="1" promptTitle="Instruction" prompt="Calculated based on Annual Recurring Grant and Tenure Track Grant only.  Don't consider the additional supplementary grants" sqref="B13:D13"/>
    <dataValidation allowBlank="1" showInputMessage="1" showErrorMessage="1" promptTitle="OI Per Student" prompt="Considering the figure of total actual own income from all resources for FY 2014-15, as reported to HEC" sqref="B15:D15"/>
  </dataValidations>
  <printOptions horizontalCentered="1"/>
  <pageMargins left="0.45" right="0.45" top="0.5" bottom="0.25" header="0.3" footer="0.55000000000000004"/>
  <pageSetup paperSize="9" scale="90" orientation="portrait" r:id="rId1"/>
  <headerFooter>
    <oddFooter>&amp;R&amp;"Garamond,Bold"&amp;12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H31" sqref="H31"/>
    </sheetView>
  </sheetViews>
  <sheetFormatPr defaultRowHeight="15"/>
  <cols>
    <col min="3" max="3" width="38.7109375" bestFit="1" customWidth="1"/>
    <col min="4" max="4" width="25" bestFit="1" customWidth="1"/>
    <col min="5" max="5" width="25.85546875" bestFit="1" customWidth="1"/>
    <col min="6" max="6" width="10.5703125" bestFit="1" customWidth="1"/>
    <col min="7" max="8" width="11.42578125" bestFit="1" customWidth="1"/>
    <col min="9" max="9" width="29.28515625" bestFit="1" customWidth="1"/>
    <col min="11" max="11" width="18.5703125" customWidth="1"/>
  </cols>
  <sheetData>
    <row r="1" spans="1:11" ht="18">
      <c r="A1" s="482"/>
      <c r="B1" s="487"/>
      <c r="C1" s="482"/>
      <c r="D1" s="482"/>
      <c r="E1" s="482"/>
      <c r="F1" s="482"/>
      <c r="G1" s="482"/>
      <c r="H1" s="482"/>
      <c r="I1" s="482"/>
      <c r="J1" s="1308" t="s">
        <v>932</v>
      </c>
      <c r="K1" s="1309"/>
    </row>
    <row r="2" spans="1:11" ht="18.75">
      <c r="A2" s="1310" t="s">
        <v>1235</v>
      </c>
      <c r="B2" s="1311"/>
      <c r="C2" s="1311"/>
      <c r="D2" s="1311"/>
      <c r="E2" s="1311"/>
      <c r="F2" s="1311"/>
      <c r="G2" s="1311"/>
      <c r="H2" s="1311"/>
      <c r="I2" s="1311"/>
      <c r="J2" s="1311"/>
      <c r="K2" s="1311"/>
    </row>
    <row r="3" spans="1:11" ht="21">
      <c r="A3" s="492"/>
      <c r="B3" s="492"/>
      <c r="C3" s="492"/>
      <c r="D3" s="492"/>
      <c r="E3" s="492"/>
      <c r="F3" s="492"/>
      <c r="G3" s="492"/>
      <c r="H3" s="492"/>
      <c r="I3" s="492"/>
      <c r="J3" s="492"/>
      <c r="K3" s="492"/>
    </row>
    <row r="4" spans="1:11" ht="15.75">
      <c r="A4" s="1312" t="s">
        <v>1552</v>
      </c>
      <c r="B4" s="1312"/>
      <c r="C4" s="1312"/>
      <c r="D4" s="1312"/>
      <c r="E4" s="1312"/>
      <c r="F4" s="1312"/>
      <c r="G4" s="1312"/>
      <c r="H4" s="1312"/>
      <c r="I4" s="482"/>
      <c r="J4" s="482"/>
      <c r="K4" s="482"/>
    </row>
    <row r="5" spans="1:11">
      <c r="A5" s="1312"/>
      <c r="B5" s="1312"/>
      <c r="C5" s="1312"/>
      <c r="D5" s="1312"/>
      <c r="E5" s="1312"/>
      <c r="F5" s="1312"/>
      <c r="G5" s="1312"/>
      <c r="H5" s="1312"/>
      <c r="I5" s="1306" t="s">
        <v>949</v>
      </c>
      <c r="J5" s="1307"/>
      <c r="K5" s="987">
        <v>70</v>
      </c>
    </row>
    <row r="6" spans="1:11">
      <c r="A6" s="1313" t="s">
        <v>965</v>
      </c>
      <c r="B6" s="1313"/>
      <c r="C6" s="1313"/>
      <c r="D6" s="500" t="s">
        <v>926</v>
      </c>
      <c r="E6" s="500" t="s">
        <v>1230</v>
      </c>
      <c r="F6" s="500" t="s">
        <v>1434</v>
      </c>
      <c r="G6" s="500" t="s">
        <v>974</v>
      </c>
      <c r="H6" s="500" t="s">
        <v>136</v>
      </c>
      <c r="I6" s="1306" t="s">
        <v>948</v>
      </c>
      <c r="J6" s="1307"/>
      <c r="K6" s="987">
        <v>47</v>
      </c>
    </row>
    <row r="7" spans="1:11">
      <c r="A7" s="1305" t="s">
        <v>966</v>
      </c>
      <c r="B7" s="1305"/>
      <c r="C7" s="1305"/>
      <c r="D7" s="988">
        <v>1514.81</v>
      </c>
      <c r="E7" s="988">
        <v>1542.2070000000001</v>
      </c>
      <c r="F7" s="988">
        <v>1611.472</v>
      </c>
      <c r="G7" s="988">
        <v>2904.8531000000003</v>
      </c>
      <c r="H7" s="988">
        <f>SUM(D7:G7)</f>
        <v>7573.3420999999998</v>
      </c>
      <c r="I7" s="1306" t="s">
        <v>942</v>
      </c>
      <c r="J7" s="1307"/>
      <c r="K7" s="987">
        <v>117</v>
      </c>
    </row>
    <row r="8" spans="1:11">
      <c r="A8" s="1305" t="s">
        <v>967</v>
      </c>
      <c r="B8" s="1305"/>
      <c r="C8" s="1305"/>
      <c r="D8" s="988">
        <v>50</v>
      </c>
      <c r="E8" s="988">
        <v>50</v>
      </c>
      <c r="F8" s="988">
        <v>200</v>
      </c>
      <c r="G8" s="988">
        <v>125</v>
      </c>
      <c r="H8" s="988">
        <f t="shared" ref="H8:H9" si="0">SUM(D8:G8)</f>
        <v>425</v>
      </c>
      <c r="I8" s="1306" t="s">
        <v>1553</v>
      </c>
      <c r="J8" s="1307"/>
      <c r="K8" s="987">
        <v>13986</v>
      </c>
    </row>
    <row r="9" spans="1:11">
      <c r="A9" s="1305" t="s">
        <v>973</v>
      </c>
      <c r="B9" s="1305"/>
      <c r="C9" s="1305"/>
      <c r="D9" s="988">
        <v>1468.3229999999999</v>
      </c>
      <c r="E9" s="988">
        <v>1806.7340000000002</v>
      </c>
      <c r="F9" s="988">
        <v>2045.2649999999999</v>
      </c>
      <c r="G9" s="988">
        <v>2010.0320000000004</v>
      </c>
      <c r="H9" s="988">
        <f t="shared" si="0"/>
        <v>7330.3540000000003</v>
      </c>
      <c r="I9" s="1306" t="s">
        <v>1554</v>
      </c>
      <c r="J9" s="1307"/>
      <c r="K9" s="987">
        <v>288</v>
      </c>
    </row>
    <row r="10" spans="1:11" ht="15.75">
      <c r="A10" s="496"/>
      <c r="B10" s="496"/>
      <c r="C10" s="989"/>
      <c r="D10" s="989"/>
      <c r="E10" s="989"/>
      <c r="F10" s="989"/>
      <c r="G10" s="989"/>
      <c r="H10" s="482"/>
      <c r="I10" s="990"/>
      <c r="J10" s="991"/>
      <c r="K10" s="482"/>
    </row>
    <row r="11" spans="1:11">
      <c r="A11" s="1293" t="s">
        <v>933</v>
      </c>
      <c r="B11" s="1299" t="s">
        <v>934</v>
      </c>
      <c r="C11" s="1301" t="s">
        <v>935</v>
      </c>
      <c r="D11" s="1302" t="s">
        <v>1227</v>
      </c>
      <c r="E11" s="1302" t="s">
        <v>1220</v>
      </c>
      <c r="F11" s="1304" t="s">
        <v>936</v>
      </c>
      <c r="G11" s="1304"/>
      <c r="H11" s="1304"/>
      <c r="I11" s="1293" t="s">
        <v>938</v>
      </c>
      <c r="J11" s="1293" t="s">
        <v>979</v>
      </c>
      <c r="K11" s="1293"/>
    </row>
    <row r="12" spans="1:11">
      <c r="A12" s="1293"/>
      <c r="B12" s="1300"/>
      <c r="C12" s="1301"/>
      <c r="D12" s="1303"/>
      <c r="E12" s="1303"/>
      <c r="F12" s="971" t="s">
        <v>974</v>
      </c>
      <c r="G12" s="971" t="s">
        <v>993</v>
      </c>
      <c r="H12" s="971" t="s">
        <v>1232</v>
      </c>
      <c r="I12" s="1293"/>
      <c r="J12" s="1293"/>
      <c r="K12" s="1293"/>
    </row>
    <row r="13" spans="1:11" ht="15.75">
      <c r="A13" s="1294"/>
      <c r="B13" s="1279"/>
      <c r="C13" s="1279"/>
      <c r="D13" s="1279"/>
      <c r="E13" s="1279"/>
      <c r="F13" s="1279"/>
      <c r="G13" s="1279"/>
      <c r="H13" s="1279"/>
      <c r="I13" s="1279"/>
      <c r="J13" s="1279"/>
      <c r="K13" s="1279"/>
    </row>
    <row r="14" spans="1:11" ht="35.1" customHeight="1">
      <c r="A14" s="1275" t="s">
        <v>937</v>
      </c>
      <c r="B14" s="494">
        <v>1.1000000000000001</v>
      </c>
      <c r="C14" s="979" t="s">
        <v>1541</v>
      </c>
      <c r="D14" s="980">
        <v>10846</v>
      </c>
      <c r="E14" s="980">
        <v>11896</v>
      </c>
      <c r="F14" s="980">
        <v>12630</v>
      </c>
      <c r="G14" s="980">
        <f>F14*1.1</f>
        <v>13893.000000000002</v>
      </c>
      <c r="H14" s="981">
        <v>15280</v>
      </c>
      <c r="I14" s="979" t="s">
        <v>1542</v>
      </c>
      <c r="J14" s="1296" t="s">
        <v>1543</v>
      </c>
      <c r="K14" s="1296"/>
    </row>
    <row r="15" spans="1:11" ht="35.1" customHeight="1">
      <c r="A15" s="1275"/>
      <c r="B15" s="494">
        <v>1.2</v>
      </c>
      <c r="C15" s="979" t="s">
        <v>1544</v>
      </c>
      <c r="D15" s="970">
        <v>1699</v>
      </c>
      <c r="E15" s="970">
        <v>1362</v>
      </c>
      <c r="F15" s="970">
        <v>1579</v>
      </c>
      <c r="G15" s="980">
        <f t="shared" ref="G15:H16" si="1">F15*1.1</f>
        <v>1736.9</v>
      </c>
      <c r="H15" s="981">
        <v>1910</v>
      </c>
      <c r="I15" s="979" t="s">
        <v>1542</v>
      </c>
      <c r="J15" s="1296" t="s">
        <v>1543</v>
      </c>
      <c r="K15" s="1296"/>
    </row>
    <row r="16" spans="1:11" ht="35.1" customHeight="1">
      <c r="A16" s="1275"/>
      <c r="B16" s="494">
        <v>1.3</v>
      </c>
      <c r="C16" s="979" t="s">
        <v>1545</v>
      </c>
      <c r="D16" s="970">
        <v>877</v>
      </c>
      <c r="E16" s="970">
        <v>482</v>
      </c>
      <c r="F16" s="970">
        <v>752</v>
      </c>
      <c r="G16" s="980">
        <f t="shared" si="1"/>
        <v>827.2</v>
      </c>
      <c r="H16" s="981">
        <f t="shared" si="1"/>
        <v>909.92000000000007</v>
      </c>
      <c r="I16" s="979" t="s">
        <v>1542</v>
      </c>
      <c r="J16" s="1296" t="s">
        <v>1543</v>
      </c>
      <c r="K16" s="1296"/>
    </row>
    <row r="17" spans="1:11" ht="35.1" customHeight="1">
      <c r="A17" s="1275"/>
      <c r="B17" s="494">
        <v>1.4</v>
      </c>
      <c r="C17" s="982" t="s">
        <v>1546</v>
      </c>
      <c r="D17" s="970">
        <v>77</v>
      </c>
      <c r="E17" s="970">
        <v>176</v>
      </c>
      <c r="F17" s="970">
        <v>35</v>
      </c>
      <c r="G17" s="980">
        <v>40</v>
      </c>
      <c r="H17" s="981">
        <v>40</v>
      </c>
      <c r="I17" s="979" t="s">
        <v>1542</v>
      </c>
      <c r="J17" s="1296" t="s">
        <v>1543</v>
      </c>
      <c r="K17" s="1296"/>
    </row>
    <row r="18" spans="1:11" ht="35.1" customHeight="1">
      <c r="A18" s="1275"/>
      <c r="B18" s="494">
        <v>1.5</v>
      </c>
      <c r="C18" s="979" t="s">
        <v>1547</v>
      </c>
      <c r="D18" s="970">
        <v>309</v>
      </c>
      <c r="E18" s="983" t="s">
        <v>1548</v>
      </c>
      <c r="F18" s="983" t="s">
        <v>1548</v>
      </c>
      <c r="G18" s="983" t="s">
        <v>1548</v>
      </c>
      <c r="H18" s="983" t="s">
        <v>1548</v>
      </c>
      <c r="I18" s="982" t="s">
        <v>1549</v>
      </c>
      <c r="J18" s="1296" t="s">
        <v>1543</v>
      </c>
      <c r="K18" s="1296"/>
    </row>
    <row r="19" spans="1:11" ht="35.1" customHeight="1" thickBot="1">
      <c r="A19" s="1295"/>
      <c r="B19" s="498">
        <v>1.6</v>
      </c>
      <c r="C19" s="984" t="s">
        <v>1550</v>
      </c>
      <c r="D19" s="985">
        <v>133.86099999999999</v>
      </c>
      <c r="E19" s="985">
        <v>133.86099999999999</v>
      </c>
      <c r="F19" s="985">
        <v>133.86099999999999</v>
      </c>
      <c r="G19" s="985">
        <v>133.86099999999999</v>
      </c>
      <c r="H19" s="985">
        <v>135</v>
      </c>
      <c r="I19" s="986" t="s">
        <v>1542</v>
      </c>
      <c r="J19" s="1297" t="s">
        <v>1551</v>
      </c>
      <c r="K19" s="1298"/>
    </row>
    <row r="20" spans="1:11" ht="13.5" customHeight="1" thickTop="1">
      <c r="A20" s="1287"/>
      <c r="B20" s="1287"/>
      <c r="C20" s="1287"/>
      <c r="D20" s="1287"/>
      <c r="E20" s="1287"/>
      <c r="F20" s="1287"/>
      <c r="G20" s="1287"/>
      <c r="H20" s="1287"/>
      <c r="I20" s="1287"/>
      <c r="J20" s="1287"/>
      <c r="K20" s="1287"/>
    </row>
    <row r="21" spans="1:11" ht="35.1" customHeight="1">
      <c r="A21" s="1288" t="s">
        <v>975</v>
      </c>
      <c r="B21" s="992">
        <v>2.1</v>
      </c>
      <c r="C21" s="993" t="s">
        <v>1555</v>
      </c>
      <c r="D21" s="994" t="s">
        <v>1556</v>
      </c>
      <c r="E21" s="994" t="s">
        <v>1557</v>
      </c>
      <c r="F21" s="994" t="s">
        <v>1558</v>
      </c>
      <c r="G21" s="995">
        <v>6.3194444444444442E-2</v>
      </c>
      <c r="H21" s="995">
        <v>6.5277777777777782E-2</v>
      </c>
      <c r="I21" s="993" t="s">
        <v>1559</v>
      </c>
      <c r="J21" s="1291" t="s">
        <v>1560</v>
      </c>
      <c r="K21" s="1292"/>
    </row>
    <row r="22" spans="1:11" ht="35.1" customHeight="1">
      <c r="A22" s="1289"/>
      <c r="B22" s="992">
        <v>2.2000000000000002</v>
      </c>
      <c r="C22" s="993" t="s">
        <v>1561</v>
      </c>
      <c r="D22" s="996">
        <v>4</v>
      </c>
      <c r="E22" s="996">
        <v>4</v>
      </c>
      <c r="F22" s="996">
        <v>5</v>
      </c>
      <c r="G22" s="996">
        <v>6</v>
      </c>
      <c r="H22" s="996">
        <v>6</v>
      </c>
      <c r="I22" s="993" t="s">
        <v>1562</v>
      </c>
      <c r="J22" s="1291" t="s">
        <v>1560</v>
      </c>
      <c r="K22" s="1292"/>
    </row>
    <row r="23" spans="1:11" ht="35.1" customHeight="1">
      <c r="A23" s="1289"/>
      <c r="B23" s="992">
        <v>2.2999999999999998</v>
      </c>
      <c r="C23" s="993" t="s">
        <v>1563</v>
      </c>
      <c r="D23" s="996">
        <v>259</v>
      </c>
      <c r="E23" s="996">
        <v>265</v>
      </c>
      <c r="F23" s="996">
        <v>275</v>
      </c>
      <c r="G23" s="996">
        <v>300</v>
      </c>
      <c r="H23" s="996">
        <v>340</v>
      </c>
      <c r="I23" s="993" t="s">
        <v>915</v>
      </c>
      <c r="J23" s="1291" t="s">
        <v>1560</v>
      </c>
      <c r="K23" s="1292"/>
    </row>
    <row r="24" spans="1:11" ht="35.1" customHeight="1">
      <c r="A24" s="1290"/>
      <c r="B24" s="992">
        <v>2.4</v>
      </c>
      <c r="C24" s="997" t="s">
        <v>1564</v>
      </c>
      <c r="D24" s="996">
        <v>5</v>
      </c>
      <c r="E24" s="996">
        <v>5</v>
      </c>
      <c r="F24" s="996">
        <v>5</v>
      </c>
      <c r="G24" s="996">
        <v>5</v>
      </c>
      <c r="H24" s="996">
        <v>5</v>
      </c>
      <c r="I24" s="1019" t="s">
        <v>1565</v>
      </c>
      <c r="J24" s="1291" t="s">
        <v>1560</v>
      </c>
      <c r="K24" s="1292"/>
    </row>
    <row r="25" spans="1:11" ht="14.25" customHeight="1">
      <c r="A25" s="1277">
        <v>265</v>
      </c>
      <c r="B25" s="1277"/>
      <c r="C25" s="1277"/>
      <c r="D25" s="1277"/>
      <c r="E25" s="1277"/>
      <c r="F25" s="1277"/>
      <c r="G25" s="1277"/>
      <c r="H25" s="1277"/>
      <c r="I25" s="1277"/>
      <c r="J25" s="1277"/>
      <c r="K25" s="1277"/>
    </row>
    <row r="26" spans="1:11" ht="62.25" customHeight="1">
      <c r="A26" s="998" t="s">
        <v>1566</v>
      </c>
      <c r="B26" s="493">
        <v>3.1</v>
      </c>
      <c r="C26" s="999" t="s">
        <v>1567</v>
      </c>
      <c r="D26" s="1000">
        <v>259</v>
      </c>
      <c r="E26" s="1000">
        <v>265</v>
      </c>
      <c r="F26" s="1000">
        <v>275</v>
      </c>
      <c r="G26" s="1000">
        <v>300</v>
      </c>
      <c r="H26" s="1000">
        <v>340</v>
      </c>
      <c r="I26" s="999" t="s">
        <v>1568</v>
      </c>
      <c r="J26" s="1278" t="s">
        <v>1560</v>
      </c>
      <c r="K26" s="1278"/>
    </row>
    <row r="27" spans="1:11" ht="14.25" customHeight="1">
      <c r="A27" s="1279"/>
      <c r="B27" s="1279"/>
      <c r="C27" s="1279"/>
      <c r="D27" s="1279"/>
      <c r="E27" s="1279"/>
      <c r="F27" s="1279"/>
      <c r="G27" s="1279"/>
      <c r="H27" s="1279"/>
      <c r="I27" s="1279"/>
      <c r="J27" s="1279"/>
      <c r="K27" s="1279"/>
    </row>
    <row r="28" spans="1:11" ht="35.1" customHeight="1">
      <c r="A28" s="1280" t="s">
        <v>977</v>
      </c>
      <c r="B28" s="533">
        <v>4.0999999999999996</v>
      </c>
      <c r="C28" s="1001" t="s">
        <v>1410</v>
      </c>
      <c r="D28" s="1002" t="s">
        <v>1411</v>
      </c>
      <c r="E28" s="1283" t="s">
        <v>1569</v>
      </c>
      <c r="F28" s="1284"/>
      <c r="G28" s="1285" t="s">
        <v>1570</v>
      </c>
      <c r="H28" s="1284"/>
      <c r="I28" s="1003" t="s">
        <v>1571</v>
      </c>
      <c r="J28" s="1271" t="s">
        <v>1572</v>
      </c>
      <c r="K28" s="1272"/>
    </row>
    <row r="29" spans="1:11" ht="35.1" customHeight="1">
      <c r="A29" s="1280"/>
      <c r="B29" s="533">
        <v>4.2</v>
      </c>
      <c r="C29" s="1001" t="s">
        <v>1573</v>
      </c>
      <c r="D29" s="972">
        <v>4</v>
      </c>
      <c r="E29" s="972">
        <v>5</v>
      </c>
      <c r="F29" s="972">
        <v>6</v>
      </c>
      <c r="G29" s="972">
        <v>6</v>
      </c>
      <c r="H29" s="972">
        <v>6</v>
      </c>
      <c r="I29" s="1001" t="s">
        <v>1414</v>
      </c>
      <c r="J29" s="1286" t="s">
        <v>1560</v>
      </c>
      <c r="K29" s="1286"/>
    </row>
    <row r="30" spans="1:11" ht="35.1" customHeight="1">
      <c r="A30" s="1280"/>
      <c r="B30" s="533">
        <v>4.3</v>
      </c>
      <c r="C30" s="1001" t="s">
        <v>1574</v>
      </c>
      <c r="D30" s="972">
        <v>13</v>
      </c>
      <c r="E30" s="972">
        <v>15</v>
      </c>
      <c r="F30" s="972">
        <v>18</v>
      </c>
      <c r="G30" s="972">
        <v>18</v>
      </c>
      <c r="H30" s="972">
        <v>18</v>
      </c>
      <c r="I30" s="1001" t="s">
        <v>1414</v>
      </c>
      <c r="J30" s="1286" t="s">
        <v>1560</v>
      </c>
      <c r="K30" s="1286"/>
    </row>
    <row r="31" spans="1:11" ht="35.1" customHeight="1">
      <c r="A31" s="1280"/>
      <c r="B31" s="533">
        <v>4.4000000000000004</v>
      </c>
      <c r="C31" s="1001" t="s">
        <v>1575</v>
      </c>
      <c r="D31" s="972">
        <v>3</v>
      </c>
      <c r="E31" s="972">
        <v>4</v>
      </c>
      <c r="F31" s="972">
        <v>5</v>
      </c>
      <c r="G31" s="972">
        <v>5</v>
      </c>
      <c r="H31" s="972">
        <v>5</v>
      </c>
      <c r="I31" s="1001" t="s">
        <v>1414</v>
      </c>
      <c r="J31" s="1286" t="s">
        <v>1560</v>
      </c>
      <c r="K31" s="1286"/>
    </row>
    <row r="32" spans="1:11" ht="35.1" customHeight="1">
      <c r="A32" s="1280"/>
      <c r="B32" s="533">
        <v>4.5</v>
      </c>
      <c r="C32" s="1001" t="s">
        <v>1576</v>
      </c>
      <c r="D32" s="972">
        <v>24</v>
      </c>
      <c r="E32" s="972">
        <v>27.6</v>
      </c>
      <c r="F32" s="972">
        <v>30</v>
      </c>
      <c r="G32" s="972">
        <v>33</v>
      </c>
      <c r="H32" s="972">
        <v>33</v>
      </c>
      <c r="I32" s="1001" t="s">
        <v>1577</v>
      </c>
      <c r="J32" s="1271" t="s">
        <v>1551</v>
      </c>
      <c r="K32" s="1272"/>
    </row>
    <row r="33" spans="1:11" ht="35.1" customHeight="1">
      <c r="A33" s="1281"/>
      <c r="B33" s="1004">
        <v>4.5999999999999996</v>
      </c>
      <c r="C33" s="1003" t="s">
        <v>1578</v>
      </c>
      <c r="D33" s="1005">
        <v>5.8</v>
      </c>
      <c r="E33" s="1005">
        <v>8</v>
      </c>
      <c r="F33" s="1005">
        <v>10</v>
      </c>
      <c r="G33" s="1005">
        <v>12</v>
      </c>
      <c r="H33" s="1005">
        <v>12</v>
      </c>
      <c r="I33" s="1006" t="s">
        <v>1579</v>
      </c>
      <c r="J33" s="1271" t="s">
        <v>1551</v>
      </c>
      <c r="K33" s="1272"/>
    </row>
    <row r="34" spans="1:11" ht="35.1" customHeight="1">
      <c r="A34" s="1281"/>
      <c r="B34" s="1004">
        <v>4.7</v>
      </c>
      <c r="C34" s="1006" t="s">
        <v>1580</v>
      </c>
      <c r="D34" s="1005">
        <v>25</v>
      </c>
      <c r="E34" s="1005">
        <v>34</v>
      </c>
      <c r="F34" s="1005">
        <v>40</v>
      </c>
      <c r="G34" s="1005">
        <v>40</v>
      </c>
      <c r="H34" s="1005">
        <v>40</v>
      </c>
      <c r="I34" s="1006" t="s">
        <v>1581</v>
      </c>
      <c r="J34" s="1271" t="s">
        <v>1560</v>
      </c>
      <c r="K34" s="1272"/>
    </row>
    <row r="35" spans="1:11" ht="35.1" customHeight="1">
      <c r="A35" s="1281"/>
      <c r="B35" s="1004">
        <v>4.8</v>
      </c>
      <c r="C35" s="1003" t="s">
        <v>1582</v>
      </c>
      <c r="D35" s="1005">
        <v>0</v>
      </c>
      <c r="E35" s="1005">
        <v>50</v>
      </c>
      <c r="F35" s="1005">
        <v>54</v>
      </c>
      <c r="G35" s="1005" t="s">
        <v>1548</v>
      </c>
      <c r="H35" s="1007" t="s">
        <v>1548</v>
      </c>
      <c r="I35" s="1006" t="s">
        <v>1583</v>
      </c>
      <c r="J35" s="1271" t="s">
        <v>1572</v>
      </c>
      <c r="K35" s="1272"/>
    </row>
    <row r="36" spans="1:11" ht="35.1" customHeight="1" thickBot="1">
      <c r="A36" s="1282"/>
      <c r="B36" s="535">
        <v>4.9000000000000004</v>
      </c>
      <c r="C36" s="1008" t="s">
        <v>1584</v>
      </c>
      <c r="D36" s="1009">
        <v>0</v>
      </c>
      <c r="E36" s="1009">
        <v>200</v>
      </c>
      <c r="F36" s="1009">
        <v>242</v>
      </c>
      <c r="G36" s="1009" t="s">
        <v>1548</v>
      </c>
      <c r="H36" s="1010" t="s">
        <v>1548</v>
      </c>
      <c r="I36" s="1006" t="s">
        <v>1583</v>
      </c>
      <c r="J36" s="1273" t="s">
        <v>1572</v>
      </c>
      <c r="K36" s="1274"/>
    </row>
    <row r="37" spans="1:11" ht="17.25" customHeight="1" thickTop="1">
      <c r="A37" s="1011"/>
      <c r="B37" s="1012"/>
      <c r="C37" s="1013"/>
      <c r="D37" s="1013"/>
      <c r="E37" s="1013"/>
      <c r="F37" s="1013"/>
      <c r="G37" s="1013"/>
      <c r="H37" s="1013"/>
      <c r="I37" s="1013"/>
      <c r="J37" s="1013"/>
      <c r="K37" s="1013"/>
    </row>
    <row r="38" spans="1:11" ht="35.1" customHeight="1">
      <c r="A38" s="1275" t="s">
        <v>978</v>
      </c>
      <c r="B38" s="494">
        <v>5.0999999999999996</v>
      </c>
      <c r="C38" s="982" t="s">
        <v>1585</v>
      </c>
      <c r="D38" s="1014">
        <v>27</v>
      </c>
      <c r="E38" s="1014">
        <v>25</v>
      </c>
      <c r="F38" s="1014">
        <v>20</v>
      </c>
      <c r="G38" s="1014">
        <v>40</v>
      </c>
      <c r="H38" s="1014">
        <v>40</v>
      </c>
      <c r="I38" s="1015" t="s">
        <v>1581</v>
      </c>
      <c r="J38" s="1276" t="s">
        <v>1560</v>
      </c>
      <c r="K38" s="1276"/>
    </row>
    <row r="39" spans="1:11" ht="35.1" customHeight="1">
      <c r="A39" s="1275"/>
      <c r="B39" s="494">
        <v>5.2</v>
      </c>
      <c r="C39" s="979" t="s">
        <v>1586</v>
      </c>
      <c r="D39" s="1014" t="s">
        <v>1587</v>
      </c>
      <c r="E39" s="1014" t="s">
        <v>1587</v>
      </c>
      <c r="F39" s="1014" t="s">
        <v>1587</v>
      </c>
      <c r="G39" s="1016" t="s">
        <v>1588</v>
      </c>
      <c r="H39" s="1016" t="s">
        <v>1588</v>
      </c>
      <c r="I39" s="1015" t="s">
        <v>1589</v>
      </c>
      <c r="J39" s="1276" t="s">
        <v>1590</v>
      </c>
      <c r="K39" s="1276"/>
    </row>
    <row r="40" spans="1:11" ht="35.1" customHeight="1">
      <c r="A40" s="1275"/>
      <c r="B40" s="494">
        <v>5.3</v>
      </c>
      <c r="C40" s="979" t="s">
        <v>1591</v>
      </c>
      <c r="D40" s="1014" t="s">
        <v>1592</v>
      </c>
      <c r="E40" s="1014" t="s">
        <v>1593</v>
      </c>
      <c r="F40" s="1014" t="s">
        <v>1593</v>
      </c>
      <c r="G40" s="1014" t="s">
        <v>1594</v>
      </c>
      <c r="H40" s="1014" t="s">
        <v>1594</v>
      </c>
      <c r="I40" s="1015" t="s">
        <v>1595</v>
      </c>
      <c r="J40" s="1276" t="s">
        <v>1596</v>
      </c>
      <c r="K40" s="1276"/>
    </row>
    <row r="41" spans="1:11" ht="35.1" customHeight="1">
      <c r="A41" s="1275"/>
      <c r="B41" s="494">
        <v>5.4</v>
      </c>
      <c r="C41" s="982" t="s">
        <v>1597</v>
      </c>
      <c r="D41" s="1014">
        <v>5.8</v>
      </c>
      <c r="E41" s="1017" t="s">
        <v>1548</v>
      </c>
      <c r="F41" s="1014">
        <v>5</v>
      </c>
      <c r="G41" s="1014">
        <v>10</v>
      </c>
      <c r="H41" s="1014">
        <v>12</v>
      </c>
      <c r="I41" s="1015" t="s">
        <v>1598</v>
      </c>
      <c r="J41" s="1276" t="s">
        <v>1551</v>
      </c>
      <c r="K41" s="1276"/>
    </row>
    <row r="42" spans="1:11" ht="35.1" customHeight="1">
      <c r="A42" s="1275"/>
      <c r="B42" s="494">
        <v>5.5</v>
      </c>
      <c r="C42" s="982" t="s">
        <v>1599</v>
      </c>
      <c r="D42" s="1018">
        <f>E9/(E7+E9)</f>
        <v>0.539494126650783</v>
      </c>
      <c r="E42" s="1018">
        <f t="shared" ref="E42:F42" si="2">F9/(F7+F9)</f>
        <v>0.55931421920690494</v>
      </c>
      <c r="F42" s="1018">
        <f t="shared" si="2"/>
        <v>0.40896825848482199</v>
      </c>
      <c r="G42" s="1018">
        <v>0.55000000000000004</v>
      </c>
      <c r="H42" s="1018">
        <v>0.55000000000000004</v>
      </c>
      <c r="I42" s="1015" t="s">
        <v>1600</v>
      </c>
      <c r="J42" s="1276" t="s">
        <v>1551</v>
      </c>
      <c r="K42" s="1276"/>
    </row>
    <row r="43" spans="1:11" ht="15.75">
      <c r="A43" s="482"/>
      <c r="B43" s="487"/>
      <c r="C43" s="482"/>
      <c r="D43" s="482"/>
      <c r="E43" s="482"/>
      <c r="F43" s="482"/>
      <c r="G43" s="482"/>
      <c r="H43" s="482"/>
      <c r="I43" s="482"/>
      <c r="J43" s="482"/>
      <c r="K43" s="482"/>
    </row>
    <row r="44" spans="1:11" ht="15.75">
      <c r="A44" s="482"/>
      <c r="B44" s="487"/>
      <c r="C44" s="482"/>
      <c r="D44" s="482"/>
      <c r="E44" s="482"/>
      <c r="F44" s="482"/>
      <c r="G44" s="482"/>
      <c r="H44" s="482"/>
      <c r="I44" s="482"/>
      <c r="J44" s="482"/>
      <c r="K44" s="482"/>
    </row>
    <row r="45" spans="1:11" ht="15.75">
      <c r="A45" s="482"/>
      <c r="B45" s="487"/>
      <c r="C45" s="482"/>
      <c r="D45" s="482"/>
      <c r="E45" s="482"/>
      <c r="F45" s="482"/>
      <c r="G45" s="482"/>
      <c r="H45" s="482"/>
      <c r="I45" s="482"/>
      <c r="J45" s="482"/>
      <c r="K45" s="482"/>
    </row>
    <row r="46" spans="1:11" ht="15.75">
      <c r="A46" s="482"/>
      <c r="B46" s="487"/>
      <c r="C46" s="482"/>
      <c r="D46" s="482"/>
      <c r="E46" s="482"/>
      <c r="F46" s="482"/>
      <c r="G46" s="482"/>
      <c r="H46" s="482"/>
      <c r="I46" s="482"/>
      <c r="J46" s="482"/>
      <c r="K46" s="482"/>
    </row>
    <row r="47" spans="1:11" ht="15.75">
      <c r="A47" s="487"/>
      <c r="B47" s="487"/>
      <c r="C47" s="487"/>
      <c r="D47" s="487"/>
      <c r="E47" s="487"/>
      <c r="F47" s="487"/>
      <c r="G47" s="1269" t="s">
        <v>940</v>
      </c>
      <c r="H47" s="1269"/>
      <c r="I47" s="1270" t="s">
        <v>941</v>
      </c>
      <c r="J47" s="1270"/>
      <c r="K47" s="1270"/>
    </row>
  </sheetData>
  <mergeCells count="57">
    <mergeCell ref="J1:K1"/>
    <mergeCell ref="A2:K2"/>
    <mergeCell ref="A4:H5"/>
    <mergeCell ref="I5:J5"/>
    <mergeCell ref="A6:C6"/>
    <mergeCell ref="I6:J6"/>
    <mergeCell ref="A7:C7"/>
    <mergeCell ref="I7:J7"/>
    <mergeCell ref="A8:C8"/>
    <mergeCell ref="I8:J8"/>
    <mergeCell ref="A9:C9"/>
    <mergeCell ref="I9:J9"/>
    <mergeCell ref="I11:I12"/>
    <mergeCell ref="J11:K12"/>
    <mergeCell ref="A13:K13"/>
    <mergeCell ref="A14:A19"/>
    <mergeCell ref="J14:K14"/>
    <mergeCell ref="J15:K15"/>
    <mergeCell ref="J16:K16"/>
    <mergeCell ref="J17:K17"/>
    <mergeCell ref="J18:K18"/>
    <mergeCell ref="J19:K19"/>
    <mergeCell ref="A11:A12"/>
    <mergeCell ref="B11:B12"/>
    <mergeCell ref="C11:C12"/>
    <mergeCell ref="D11:D12"/>
    <mergeCell ref="E11:E12"/>
    <mergeCell ref="F11:H11"/>
    <mergeCell ref="A20:K20"/>
    <mergeCell ref="A21:A24"/>
    <mergeCell ref="J21:K21"/>
    <mergeCell ref="J22:K22"/>
    <mergeCell ref="J23:K23"/>
    <mergeCell ref="J24:K24"/>
    <mergeCell ref="A25:K25"/>
    <mergeCell ref="J26:K26"/>
    <mergeCell ref="A27:K27"/>
    <mergeCell ref="A28:A36"/>
    <mergeCell ref="E28:F28"/>
    <mergeCell ref="G28:H28"/>
    <mergeCell ref="J28:K28"/>
    <mergeCell ref="J29:K29"/>
    <mergeCell ref="J30:K30"/>
    <mergeCell ref="J31:K31"/>
    <mergeCell ref="A38:A42"/>
    <mergeCell ref="J38:K38"/>
    <mergeCell ref="J39:K39"/>
    <mergeCell ref="J40:K40"/>
    <mergeCell ref="J41:K41"/>
    <mergeCell ref="J42:K42"/>
    <mergeCell ref="G47:H47"/>
    <mergeCell ref="I47:K47"/>
    <mergeCell ref="J32:K32"/>
    <mergeCell ref="J33:K33"/>
    <mergeCell ref="J34:K34"/>
    <mergeCell ref="J35:K35"/>
    <mergeCell ref="J36:K36"/>
  </mergeCells>
  <pageMargins left="0.7" right="0.7" top="0.75" bottom="0.75" header="0.3" footer="0.3"/>
  <pageSetup scale="5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9900"/>
  </sheetPr>
  <dimension ref="A1:K51"/>
  <sheetViews>
    <sheetView view="pageBreakPreview" zoomScaleSheetLayoutView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C14" sqref="C14:K19"/>
    </sheetView>
  </sheetViews>
  <sheetFormatPr defaultRowHeight="15.75"/>
  <cols>
    <col min="1" max="1" width="16.28515625" style="482" customWidth="1"/>
    <col min="2" max="2" width="5.5703125" style="487" customWidth="1"/>
    <col min="3" max="3" width="34.28515625" style="482" customWidth="1"/>
    <col min="4" max="8" width="10.7109375" style="482" customWidth="1"/>
    <col min="9" max="9" width="26" style="482" bestFit="1" customWidth="1"/>
    <col min="10" max="10" width="15.7109375" style="482" customWidth="1"/>
    <col min="11" max="11" width="8.85546875" style="482" customWidth="1"/>
    <col min="12" max="16384" width="9.140625" style="482"/>
  </cols>
  <sheetData>
    <row r="1" spans="1:11" ht="18">
      <c r="J1" s="1308" t="s">
        <v>932</v>
      </c>
      <c r="K1" s="1309"/>
    </row>
    <row r="2" spans="1:11" ht="34.5" customHeight="1">
      <c r="A2" s="1310" t="s">
        <v>1235</v>
      </c>
      <c r="B2" s="1311"/>
      <c r="C2" s="1311"/>
      <c r="D2" s="1311"/>
      <c r="E2" s="1311"/>
      <c r="F2" s="1311"/>
      <c r="G2" s="1311"/>
      <c r="H2" s="1311"/>
      <c r="I2" s="1311"/>
      <c r="J2" s="1311"/>
      <c r="K2" s="1311"/>
    </row>
    <row r="3" spans="1:11" ht="12" customHeight="1">
      <c r="A3" s="492"/>
      <c r="B3" s="492"/>
      <c r="C3" s="492"/>
      <c r="D3" s="492"/>
      <c r="E3" s="492"/>
      <c r="F3" s="492"/>
      <c r="G3" s="492"/>
      <c r="H3" s="492"/>
      <c r="I3" s="492"/>
      <c r="J3" s="492"/>
      <c r="K3" s="492"/>
    </row>
    <row r="4" spans="1:11" s="483" customFormat="1" ht="15.75" customHeight="1">
      <c r="A4" s="1331" t="s">
        <v>939</v>
      </c>
      <c r="B4" s="1331"/>
      <c r="C4" s="1331"/>
      <c r="D4" s="1331"/>
      <c r="E4" s="1331"/>
      <c r="F4" s="1331"/>
      <c r="G4" s="1331"/>
      <c r="H4" s="1331"/>
    </row>
    <row r="5" spans="1:11" s="483" customFormat="1" ht="20.100000000000001" customHeight="1">
      <c r="A5" s="1331"/>
      <c r="B5" s="1331"/>
      <c r="C5" s="1331"/>
      <c r="D5" s="1331"/>
      <c r="E5" s="1331"/>
      <c r="F5" s="1331"/>
      <c r="G5" s="1331"/>
      <c r="H5" s="1331"/>
      <c r="I5" s="1332" t="s">
        <v>949</v>
      </c>
      <c r="J5" s="1307"/>
      <c r="K5" s="495"/>
    </row>
    <row r="6" spans="1:11" s="483" customFormat="1" ht="20.100000000000001" customHeight="1">
      <c r="A6" s="1335" t="s">
        <v>965</v>
      </c>
      <c r="B6" s="1335"/>
      <c r="C6" s="1335"/>
      <c r="D6" s="500" t="s">
        <v>926</v>
      </c>
      <c r="E6" s="500" t="s">
        <v>1230</v>
      </c>
      <c r="F6" s="500" t="s">
        <v>1231</v>
      </c>
      <c r="G6" s="500" t="s">
        <v>1210</v>
      </c>
      <c r="H6" s="500" t="s">
        <v>136</v>
      </c>
      <c r="I6" s="1332" t="s">
        <v>948</v>
      </c>
      <c r="J6" s="1307"/>
      <c r="K6" s="495"/>
    </row>
    <row r="7" spans="1:11" s="483" customFormat="1" ht="15" customHeight="1">
      <c r="A7" s="1334" t="s">
        <v>966</v>
      </c>
      <c r="B7" s="1334"/>
      <c r="C7" s="1334"/>
      <c r="D7" s="501">
        <v>1514.81</v>
      </c>
      <c r="E7" s="501">
        <v>1542.2070000000001</v>
      </c>
      <c r="F7" s="501">
        <v>1611.472</v>
      </c>
      <c r="G7" s="501">
        <v>2039.212</v>
      </c>
      <c r="H7" s="502">
        <f>SUM(D7:G7)</f>
        <v>6707.7009999999991</v>
      </c>
      <c r="I7" s="1332" t="s">
        <v>942</v>
      </c>
      <c r="J7" s="1307"/>
      <c r="K7" s="495"/>
    </row>
    <row r="8" spans="1:11" s="483" customFormat="1" ht="15" customHeight="1">
      <c r="A8" s="1334" t="s">
        <v>967</v>
      </c>
      <c r="B8" s="1334"/>
      <c r="C8" s="1334"/>
      <c r="D8" s="501">
        <v>80</v>
      </c>
      <c r="E8" s="501">
        <v>105.7</v>
      </c>
      <c r="F8" s="501">
        <v>131.63</v>
      </c>
      <c r="G8" s="501">
        <v>612.84</v>
      </c>
      <c r="H8" s="502">
        <f>SUM(D8:G8)</f>
        <v>930.17000000000007</v>
      </c>
      <c r="I8" s="1332" t="s">
        <v>1211</v>
      </c>
      <c r="J8" s="1307"/>
      <c r="K8" s="495"/>
    </row>
    <row r="9" spans="1:11" s="483" customFormat="1" ht="15" customHeight="1">
      <c r="A9" s="1334" t="s">
        <v>973</v>
      </c>
      <c r="B9" s="1334"/>
      <c r="C9" s="1334"/>
      <c r="D9" s="501">
        <v>1468.3230000000001</v>
      </c>
      <c r="E9" s="501">
        <v>1806.7339999999999</v>
      </c>
      <c r="F9" s="501">
        <v>2045.2639999999999</v>
      </c>
      <c r="G9" s="501">
        <v>2032.2809999999999</v>
      </c>
      <c r="H9" s="502">
        <f>SUM(D9:G9)</f>
        <v>7352.6019999999999</v>
      </c>
      <c r="I9" s="1332" t="s">
        <v>1212</v>
      </c>
      <c r="J9" s="1307"/>
      <c r="K9" s="495"/>
    </row>
    <row r="10" spans="1:11" s="483" customFormat="1" ht="12" customHeight="1">
      <c r="A10" s="496"/>
      <c r="B10" s="496"/>
      <c r="C10" s="485"/>
      <c r="D10" s="485"/>
      <c r="E10" s="485"/>
      <c r="F10" s="485"/>
      <c r="G10" s="485"/>
      <c r="I10" s="486"/>
      <c r="J10" s="484"/>
    </row>
    <row r="11" spans="1:11" s="489" customFormat="1" ht="24.75" customHeight="1">
      <c r="A11" s="1293" t="s">
        <v>933</v>
      </c>
      <c r="B11" s="1299" t="s">
        <v>934</v>
      </c>
      <c r="C11" s="1301" t="s">
        <v>935</v>
      </c>
      <c r="D11" s="1302" t="s">
        <v>1227</v>
      </c>
      <c r="E11" s="1302" t="s">
        <v>1220</v>
      </c>
      <c r="F11" s="1304" t="s">
        <v>936</v>
      </c>
      <c r="G11" s="1304"/>
      <c r="H11" s="1304"/>
      <c r="I11" s="1293" t="s">
        <v>938</v>
      </c>
      <c r="J11" s="1293" t="s">
        <v>979</v>
      </c>
      <c r="K11" s="1293"/>
    </row>
    <row r="12" spans="1:11" s="489" customFormat="1" ht="26.25" customHeight="1">
      <c r="A12" s="1293"/>
      <c r="B12" s="1300"/>
      <c r="C12" s="1301"/>
      <c r="D12" s="1303"/>
      <c r="E12" s="1303"/>
      <c r="F12" s="540" t="s">
        <v>974</v>
      </c>
      <c r="G12" s="540" t="s">
        <v>993</v>
      </c>
      <c r="H12" s="540" t="s">
        <v>1232</v>
      </c>
      <c r="I12" s="1293"/>
      <c r="J12" s="1293"/>
      <c r="K12" s="1293"/>
    </row>
    <row r="13" spans="1:11" ht="8.1" customHeight="1">
      <c r="A13" s="1294"/>
      <c r="B13" s="1333"/>
      <c r="C13" s="1333"/>
      <c r="D13" s="1333"/>
      <c r="E13" s="1333"/>
      <c r="F13" s="1333"/>
      <c r="G13" s="1333"/>
      <c r="H13" s="1333"/>
      <c r="I13" s="1333"/>
      <c r="J13" s="1333"/>
      <c r="K13" s="1333"/>
    </row>
    <row r="14" spans="1:11" s="483" customFormat="1" ht="27.75" customHeight="1">
      <c r="A14" s="1275" t="s">
        <v>937</v>
      </c>
      <c r="B14" s="494">
        <v>1.1000000000000001</v>
      </c>
      <c r="C14" s="979" t="s">
        <v>1541</v>
      </c>
      <c r="D14" s="980">
        <v>10846</v>
      </c>
      <c r="E14" s="980">
        <v>11896</v>
      </c>
      <c r="F14" s="980">
        <v>12630</v>
      </c>
      <c r="G14" s="980">
        <f>F14*1.1</f>
        <v>13893.000000000002</v>
      </c>
      <c r="H14" s="981">
        <v>15280</v>
      </c>
      <c r="I14" s="979" t="s">
        <v>1542</v>
      </c>
      <c r="J14" s="1296" t="s">
        <v>1543</v>
      </c>
      <c r="K14" s="1296"/>
    </row>
    <row r="15" spans="1:11" s="483" customFormat="1" ht="29.25" customHeight="1">
      <c r="A15" s="1275"/>
      <c r="B15" s="494">
        <v>1.2</v>
      </c>
      <c r="C15" s="979" t="s">
        <v>1544</v>
      </c>
      <c r="D15" s="970">
        <v>1699</v>
      </c>
      <c r="E15" s="970">
        <v>1362</v>
      </c>
      <c r="F15" s="970">
        <v>1579</v>
      </c>
      <c r="G15" s="980">
        <f t="shared" ref="G15:H16" si="0">F15*1.1</f>
        <v>1736.9</v>
      </c>
      <c r="H15" s="981">
        <v>1910</v>
      </c>
      <c r="I15" s="979" t="s">
        <v>1542</v>
      </c>
      <c r="J15" s="1296" t="s">
        <v>1543</v>
      </c>
      <c r="K15" s="1296"/>
    </row>
    <row r="16" spans="1:11" s="483" customFormat="1" ht="27.75" customHeight="1">
      <c r="A16" s="1275"/>
      <c r="B16" s="494">
        <v>1.3</v>
      </c>
      <c r="C16" s="979" t="s">
        <v>1545</v>
      </c>
      <c r="D16" s="970">
        <v>877</v>
      </c>
      <c r="E16" s="970">
        <v>482</v>
      </c>
      <c r="F16" s="970">
        <v>752</v>
      </c>
      <c r="G16" s="980">
        <f t="shared" si="0"/>
        <v>827.2</v>
      </c>
      <c r="H16" s="981">
        <f t="shared" si="0"/>
        <v>909.92000000000007</v>
      </c>
      <c r="I16" s="979" t="s">
        <v>1542</v>
      </c>
      <c r="J16" s="1296" t="s">
        <v>1543</v>
      </c>
      <c r="K16" s="1296"/>
    </row>
    <row r="17" spans="1:11" s="483" customFormat="1" ht="24" customHeight="1">
      <c r="A17" s="1275"/>
      <c r="B17" s="494">
        <v>1.4</v>
      </c>
      <c r="C17" s="982" t="s">
        <v>1546</v>
      </c>
      <c r="D17" s="970">
        <v>77</v>
      </c>
      <c r="E17" s="970">
        <v>176</v>
      </c>
      <c r="F17" s="970">
        <v>35</v>
      </c>
      <c r="G17" s="980">
        <v>40</v>
      </c>
      <c r="H17" s="981">
        <v>40</v>
      </c>
      <c r="I17" s="979" t="s">
        <v>1542</v>
      </c>
      <c r="J17" s="1296" t="s">
        <v>1543</v>
      </c>
      <c r="K17" s="1296"/>
    </row>
    <row r="18" spans="1:11" s="483" customFormat="1" ht="29.25" customHeight="1">
      <c r="A18" s="1275"/>
      <c r="B18" s="494">
        <v>1.5</v>
      </c>
      <c r="C18" s="979" t="s">
        <v>1547</v>
      </c>
      <c r="D18" s="970">
        <v>309</v>
      </c>
      <c r="E18" s="983" t="s">
        <v>1548</v>
      </c>
      <c r="F18" s="983" t="s">
        <v>1548</v>
      </c>
      <c r="G18" s="983" t="s">
        <v>1548</v>
      </c>
      <c r="H18" s="983" t="s">
        <v>1548</v>
      </c>
      <c r="I18" s="982" t="s">
        <v>1549</v>
      </c>
      <c r="J18" s="1296" t="s">
        <v>1543</v>
      </c>
      <c r="K18" s="1296"/>
    </row>
    <row r="19" spans="1:11" s="488" customFormat="1" ht="24" customHeight="1" thickBot="1">
      <c r="A19" s="1295"/>
      <c r="B19" s="498">
        <v>1.6</v>
      </c>
      <c r="C19" s="984" t="s">
        <v>1550</v>
      </c>
      <c r="D19" s="985">
        <v>133.86099999999999</v>
      </c>
      <c r="E19" s="985">
        <v>133.86099999999999</v>
      </c>
      <c r="F19" s="985">
        <v>133.86099999999999</v>
      </c>
      <c r="G19" s="985">
        <v>133.86099999999999</v>
      </c>
      <c r="H19" s="985">
        <v>135</v>
      </c>
      <c r="I19" s="986" t="s">
        <v>1542</v>
      </c>
      <c r="J19" s="1297" t="s">
        <v>1551</v>
      </c>
      <c r="K19" s="1298"/>
    </row>
    <row r="20" spans="1:11" s="483" customFormat="1" ht="8.25" customHeight="1" thickTop="1">
      <c r="A20" s="1318"/>
      <c r="B20" s="1318"/>
      <c r="C20" s="1318"/>
      <c r="D20" s="1318"/>
      <c r="E20" s="1318"/>
      <c r="F20" s="1318"/>
      <c r="G20" s="1318"/>
      <c r="H20" s="1318"/>
      <c r="I20" s="1318"/>
      <c r="J20" s="1318"/>
      <c r="K20" s="1318"/>
    </row>
    <row r="21" spans="1:11" s="483" customFormat="1" ht="24" customHeight="1">
      <c r="A21" s="1319" t="s">
        <v>975</v>
      </c>
      <c r="B21" s="926">
        <v>2.1</v>
      </c>
      <c r="C21" s="927" t="s">
        <v>1523</v>
      </c>
      <c r="D21" s="928" t="s">
        <v>1524</v>
      </c>
      <c r="E21" s="928" t="s">
        <v>1524</v>
      </c>
      <c r="F21" s="928" t="s">
        <v>1524</v>
      </c>
      <c r="G21" s="928" t="s">
        <v>1524</v>
      </c>
      <c r="H21" s="928" t="s">
        <v>1524</v>
      </c>
      <c r="I21" s="927" t="s">
        <v>1525</v>
      </c>
      <c r="J21" s="1314" t="s">
        <v>1526</v>
      </c>
      <c r="K21" s="1315"/>
    </row>
    <row r="22" spans="1:11" s="483" customFormat="1" ht="24" customHeight="1">
      <c r="A22" s="1320"/>
      <c r="B22" s="926">
        <v>2.2000000000000002</v>
      </c>
      <c r="C22" s="927" t="s">
        <v>1527</v>
      </c>
      <c r="D22" s="928" t="s">
        <v>1524</v>
      </c>
      <c r="E22" s="928" t="s">
        <v>1524</v>
      </c>
      <c r="F22" s="928" t="s">
        <v>1524</v>
      </c>
      <c r="G22" s="928" t="s">
        <v>1524</v>
      </c>
      <c r="H22" s="928" t="s">
        <v>1524</v>
      </c>
      <c r="I22" s="927" t="s">
        <v>1525</v>
      </c>
      <c r="J22" s="1314" t="s">
        <v>1526</v>
      </c>
      <c r="K22" s="1315"/>
    </row>
    <row r="23" spans="1:11" s="483" customFormat="1" ht="24" customHeight="1">
      <c r="A23" s="1320"/>
      <c r="B23" s="926">
        <v>2.2999999999999998</v>
      </c>
      <c r="C23" s="927" t="s">
        <v>1528</v>
      </c>
      <c r="D23" s="928" t="s">
        <v>1529</v>
      </c>
      <c r="E23" s="928" t="s">
        <v>1530</v>
      </c>
      <c r="F23" s="928" t="s">
        <v>1531</v>
      </c>
      <c r="G23" s="928" t="s">
        <v>1532</v>
      </c>
      <c r="H23" s="928" t="s">
        <v>1524</v>
      </c>
      <c r="I23" s="927" t="s">
        <v>1525</v>
      </c>
      <c r="J23" s="1314" t="s">
        <v>1533</v>
      </c>
      <c r="K23" s="1315"/>
    </row>
    <row r="24" spans="1:11" s="483" customFormat="1" ht="24" customHeight="1">
      <c r="A24" s="1320"/>
      <c r="B24" s="926">
        <v>2.4</v>
      </c>
      <c r="C24" s="927" t="s">
        <v>1534</v>
      </c>
      <c r="D24" s="928" t="s">
        <v>1535</v>
      </c>
      <c r="E24" s="928" t="s">
        <v>1531</v>
      </c>
      <c r="F24" s="928" t="s">
        <v>1532</v>
      </c>
      <c r="G24" s="928" t="s">
        <v>1524</v>
      </c>
      <c r="H24" s="928" t="s">
        <v>1524</v>
      </c>
      <c r="I24" s="927" t="s">
        <v>1525</v>
      </c>
      <c r="J24" s="1314" t="s">
        <v>1533</v>
      </c>
      <c r="K24" s="1315"/>
    </row>
    <row r="25" spans="1:11" s="483" customFormat="1" ht="24" customHeight="1">
      <c r="A25" s="1320"/>
      <c r="B25" s="926">
        <v>2.5</v>
      </c>
      <c r="C25" s="927" t="s">
        <v>1536</v>
      </c>
      <c r="D25" s="928" t="s">
        <v>1535</v>
      </c>
      <c r="E25" s="928" t="s">
        <v>1531</v>
      </c>
      <c r="F25" s="928" t="s">
        <v>1532</v>
      </c>
      <c r="G25" s="928" t="s">
        <v>1524</v>
      </c>
      <c r="H25" s="928" t="s">
        <v>1524</v>
      </c>
      <c r="I25" s="927" t="s">
        <v>1525</v>
      </c>
      <c r="J25" s="1314" t="s">
        <v>1533</v>
      </c>
      <c r="K25" s="1315"/>
    </row>
    <row r="26" spans="1:11" s="488" customFormat="1" ht="24" customHeight="1" thickBot="1">
      <c r="A26" s="1321"/>
      <c r="B26" s="929">
        <v>2.6</v>
      </c>
      <c r="C26" s="930" t="s">
        <v>1537</v>
      </c>
      <c r="D26" s="931" t="s">
        <v>1535</v>
      </c>
      <c r="E26" s="931" t="s">
        <v>1538</v>
      </c>
      <c r="F26" s="931" t="s">
        <v>1530</v>
      </c>
      <c r="G26" s="931" t="s">
        <v>1531</v>
      </c>
      <c r="H26" s="931" t="s">
        <v>1532</v>
      </c>
      <c r="I26" s="930" t="s">
        <v>1525</v>
      </c>
      <c r="J26" s="1322" t="s">
        <v>1539</v>
      </c>
      <c r="K26" s="1323"/>
    </row>
    <row r="27" spans="1:11" s="483" customFormat="1" ht="7.5" customHeight="1" thickTop="1">
      <c r="A27" s="1333"/>
      <c r="B27" s="1333"/>
      <c r="C27" s="1333"/>
      <c r="D27" s="1333"/>
      <c r="E27" s="1333"/>
      <c r="F27" s="1333"/>
      <c r="G27" s="1333"/>
      <c r="H27" s="1333"/>
      <c r="I27" s="1333"/>
      <c r="J27" s="1333"/>
      <c r="K27" s="1333"/>
    </row>
    <row r="28" spans="1:11" s="483" customFormat="1" ht="24" customHeight="1">
      <c r="A28" s="1324" t="s">
        <v>976</v>
      </c>
      <c r="B28" s="493">
        <v>3.1</v>
      </c>
      <c r="C28" s="490"/>
      <c r="D28" s="490"/>
      <c r="E28" s="490"/>
      <c r="F28" s="490"/>
      <c r="G28" s="490"/>
      <c r="H28" s="490"/>
      <c r="I28" s="490"/>
      <c r="J28" s="1327"/>
      <c r="K28" s="1327"/>
    </row>
    <row r="29" spans="1:11" s="483" customFormat="1" ht="24" customHeight="1">
      <c r="A29" s="1324"/>
      <c r="B29" s="493">
        <v>3.2</v>
      </c>
      <c r="C29" s="490"/>
      <c r="D29" s="490"/>
      <c r="E29" s="490"/>
      <c r="F29" s="490"/>
      <c r="G29" s="490"/>
      <c r="H29" s="490"/>
      <c r="I29" s="490"/>
      <c r="J29" s="1327"/>
      <c r="K29" s="1327"/>
    </row>
    <row r="30" spans="1:11" s="483" customFormat="1" ht="24" customHeight="1">
      <c r="A30" s="1324"/>
      <c r="B30" s="493">
        <v>3.3</v>
      </c>
      <c r="C30" s="815" t="s">
        <v>1410</v>
      </c>
      <c r="D30" s="815" t="s">
        <v>1411</v>
      </c>
      <c r="E30" s="815" t="s">
        <v>1412</v>
      </c>
      <c r="F30" s="815" t="s">
        <v>1413</v>
      </c>
      <c r="G30" s="815" t="s">
        <v>1413</v>
      </c>
      <c r="H30" s="815" t="s">
        <v>1413</v>
      </c>
      <c r="I30" s="815" t="s">
        <v>1414</v>
      </c>
      <c r="J30" s="1328"/>
      <c r="K30" s="1328"/>
    </row>
    <row r="31" spans="1:11" s="483" customFormat="1" ht="24" customHeight="1">
      <c r="A31" s="1324"/>
      <c r="B31" s="493">
        <v>3.4</v>
      </c>
      <c r="C31" s="815" t="s">
        <v>1415</v>
      </c>
      <c r="D31" s="815">
        <v>7</v>
      </c>
      <c r="E31" s="815">
        <v>6</v>
      </c>
      <c r="F31" s="815">
        <v>10</v>
      </c>
      <c r="G31" s="815">
        <v>12</v>
      </c>
      <c r="H31" s="815">
        <v>14</v>
      </c>
      <c r="I31" s="818" t="s">
        <v>1416</v>
      </c>
      <c r="J31" s="1327"/>
      <c r="K31" s="1327"/>
    </row>
    <row r="32" spans="1:11" s="483" customFormat="1" ht="24" customHeight="1">
      <c r="A32" s="1324"/>
      <c r="B32" s="493">
        <v>3.5</v>
      </c>
      <c r="C32" s="815" t="s">
        <v>1417</v>
      </c>
      <c r="D32" s="815">
        <v>14</v>
      </c>
      <c r="E32" s="815">
        <v>4</v>
      </c>
      <c r="F32" s="815">
        <v>16</v>
      </c>
      <c r="G32" s="815">
        <v>18</v>
      </c>
      <c r="H32" s="815">
        <v>20</v>
      </c>
      <c r="I32" s="818" t="s">
        <v>1419</v>
      </c>
      <c r="J32" s="1316"/>
      <c r="K32" s="1317"/>
    </row>
    <row r="33" spans="1:11" s="483" customFormat="1" ht="24" customHeight="1" thickBot="1">
      <c r="A33" s="1325"/>
      <c r="B33" s="497">
        <v>3.6</v>
      </c>
      <c r="C33" s="816" t="s">
        <v>1418</v>
      </c>
      <c r="D33" s="816">
        <v>7</v>
      </c>
      <c r="E33" s="816">
        <v>11</v>
      </c>
      <c r="F33" s="816">
        <v>13</v>
      </c>
      <c r="G33" s="816">
        <v>15</v>
      </c>
      <c r="H33" s="816">
        <v>17</v>
      </c>
      <c r="I33" s="819" t="s">
        <v>1420</v>
      </c>
      <c r="J33" s="813"/>
      <c r="K33" s="814"/>
    </row>
    <row r="34" spans="1:11" s="488" customFormat="1" ht="24" customHeight="1" thickTop="1" thickBot="1">
      <c r="A34" s="1326"/>
      <c r="B34" s="497">
        <v>3.7</v>
      </c>
      <c r="C34" s="817" t="s">
        <v>1421</v>
      </c>
      <c r="D34" s="817">
        <v>8</v>
      </c>
      <c r="E34" s="817">
        <v>1</v>
      </c>
      <c r="F34" s="817">
        <v>6</v>
      </c>
      <c r="G34" s="817">
        <v>8</v>
      </c>
      <c r="H34" s="817">
        <v>10</v>
      </c>
      <c r="I34" s="818" t="s">
        <v>1416</v>
      </c>
      <c r="J34" s="1329"/>
      <c r="K34" s="1330"/>
    </row>
    <row r="35" spans="1:11" s="483" customFormat="1" ht="6" customHeight="1" thickTop="1">
      <c r="A35" s="1333"/>
      <c r="B35" s="1333"/>
      <c r="C35" s="1333"/>
      <c r="D35" s="1333"/>
      <c r="E35" s="1333"/>
      <c r="F35" s="1333"/>
      <c r="G35" s="1333"/>
      <c r="H35" s="1333"/>
      <c r="I35" s="1333"/>
      <c r="J35" s="1333"/>
      <c r="K35" s="1333"/>
    </row>
    <row r="36" spans="1:11" s="483" customFormat="1" ht="24" customHeight="1">
      <c r="A36" s="1280" t="s">
        <v>977</v>
      </c>
      <c r="B36" s="533">
        <v>4.0999999999999996</v>
      </c>
      <c r="C36" s="534"/>
      <c r="D36" s="534"/>
      <c r="E36" s="534"/>
      <c r="F36" s="534"/>
      <c r="G36" s="534"/>
      <c r="H36" s="534"/>
      <c r="I36" s="534"/>
      <c r="J36" s="1286"/>
      <c r="K36" s="1286"/>
    </row>
    <row r="37" spans="1:11" s="483" customFormat="1" ht="24" customHeight="1">
      <c r="A37" s="1280"/>
      <c r="B37" s="533">
        <v>4.2</v>
      </c>
      <c r="C37" s="534"/>
      <c r="D37" s="534"/>
      <c r="E37" s="534"/>
      <c r="F37" s="534"/>
      <c r="G37" s="534"/>
      <c r="H37" s="534"/>
      <c r="I37" s="534"/>
      <c r="J37" s="1286"/>
      <c r="K37" s="1286"/>
    </row>
    <row r="38" spans="1:11" s="483" customFormat="1" ht="24" customHeight="1">
      <c r="A38" s="1280"/>
      <c r="B38" s="533">
        <v>4.3</v>
      </c>
      <c r="C38" s="534"/>
      <c r="D38" s="534"/>
      <c r="E38" s="534"/>
      <c r="F38" s="534"/>
      <c r="G38" s="534"/>
      <c r="H38" s="534"/>
      <c r="I38" s="534"/>
      <c r="J38" s="1286"/>
      <c r="K38" s="1286"/>
    </row>
    <row r="39" spans="1:11" s="483" customFormat="1" ht="24" customHeight="1">
      <c r="A39" s="1280"/>
      <c r="B39" s="533">
        <v>4.4000000000000004</v>
      </c>
      <c r="C39" s="534"/>
      <c r="D39" s="534"/>
      <c r="E39" s="534"/>
      <c r="F39" s="534"/>
      <c r="G39" s="534"/>
      <c r="H39" s="534"/>
      <c r="I39" s="534"/>
      <c r="J39" s="1286"/>
      <c r="K39" s="1286"/>
    </row>
    <row r="40" spans="1:11" s="483" customFormat="1" ht="24" customHeight="1">
      <c r="A40" s="1280"/>
      <c r="B40" s="533">
        <v>4.5</v>
      </c>
      <c r="C40" s="534"/>
      <c r="D40" s="534"/>
      <c r="E40" s="534"/>
      <c r="F40" s="534"/>
      <c r="G40" s="534"/>
      <c r="H40" s="534"/>
      <c r="I40" s="534"/>
      <c r="J40" s="1286"/>
      <c r="K40" s="1286"/>
    </row>
    <row r="41" spans="1:11" s="483" customFormat="1" ht="24" customHeight="1" thickBot="1">
      <c r="A41" s="1282"/>
      <c r="B41" s="535">
        <v>4.5999999999999996</v>
      </c>
      <c r="C41" s="541"/>
      <c r="D41" s="541"/>
      <c r="E41" s="541"/>
      <c r="F41" s="541"/>
      <c r="G41" s="541"/>
      <c r="H41" s="541"/>
      <c r="I41" s="541"/>
      <c r="J41" s="1273"/>
      <c r="K41" s="1274"/>
    </row>
    <row r="42" spans="1:11" s="539" customFormat="1" ht="6" customHeight="1" thickTop="1">
      <c r="A42" s="537"/>
      <c r="B42" s="538"/>
      <c r="C42" s="536"/>
      <c r="D42" s="536"/>
      <c r="E42" s="536"/>
      <c r="F42" s="536"/>
      <c r="G42" s="536"/>
      <c r="H42" s="536"/>
      <c r="I42" s="536"/>
      <c r="J42" s="536"/>
      <c r="K42" s="536"/>
    </row>
    <row r="43" spans="1:11" s="483" customFormat="1" ht="24" customHeight="1">
      <c r="A43" s="1275" t="s">
        <v>978</v>
      </c>
      <c r="B43" s="494">
        <v>5.0999999999999996</v>
      </c>
      <c r="C43" s="491"/>
      <c r="D43" s="491"/>
      <c r="E43" s="491"/>
      <c r="F43" s="491"/>
      <c r="G43" s="491"/>
      <c r="H43" s="491"/>
      <c r="I43" s="491"/>
      <c r="J43" s="1276"/>
      <c r="K43" s="1276"/>
    </row>
    <row r="44" spans="1:11" s="483" customFormat="1" ht="24" customHeight="1">
      <c r="A44" s="1275"/>
      <c r="B44" s="494">
        <v>5.2</v>
      </c>
      <c r="C44" s="491"/>
      <c r="D44" s="491"/>
      <c r="E44" s="491"/>
      <c r="F44" s="491"/>
      <c r="G44" s="491"/>
      <c r="H44" s="491"/>
      <c r="I44" s="491"/>
      <c r="J44" s="1276"/>
      <c r="K44" s="1276"/>
    </row>
    <row r="45" spans="1:11" s="483" customFormat="1" ht="24" customHeight="1">
      <c r="A45" s="1275"/>
      <c r="B45" s="494">
        <v>5.3</v>
      </c>
      <c r="C45" s="491"/>
      <c r="D45" s="491"/>
      <c r="E45" s="491"/>
      <c r="F45" s="491"/>
      <c r="G45" s="491"/>
      <c r="H45" s="491"/>
      <c r="I45" s="491"/>
      <c r="J45" s="1276"/>
      <c r="K45" s="1276"/>
    </row>
    <row r="46" spans="1:11" s="483" customFormat="1" ht="24" customHeight="1">
      <c r="A46" s="1275"/>
      <c r="B46" s="494">
        <v>5.4</v>
      </c>
      <c r="C46" s="491"/>
      <c r="D46" s="491"/>
      <c r="E46" s="491"/>
      <c r="F46" s="491"/>
      <c r="G46" s="491"/>
      <c r="H46" s="491"/>
      <c r="I46" s="491"/>
      <c r="J46" s="1276"/>
      <c r="K46" s="1276"/>
    </row>
    <row r="47" spans="1:11" s="483" customFormat="1" ht="24" customHeight="1">
      <c r="A47" s="1275"/>
      <c r="B47" s="494">
        <v>5.5</v>
      </c>
      <c r="C47" s="491"/>
      <c r="D47" s="491"/>
      <c r="E47" s="491"/>
      <c r="F47" s="491"/>
      <c r="G47" s="491"/>
      <c r="H47" s="491"/>
      <c r="I47" s="491"/>
      <c r="J47" s="1276"/>
      <c r="K47" s="1276"/>
    </row>
    <row r="48" spans="1:11" s="488" customFormat="1" ht="24" customHeight="1" thickBot="1">
      <c r="A48" s="1295"/>
      <c r="B48" s="498">
        <v>5.6</v>
      </c>
      <c r="C48" s="499"/>
      <c r="D48" s="499"/>
      <c r="E48" s="499"/>
      <c r="F48" s="499"/>
      <c r="G48" s="499"/>
      <c r="H48" s="499"/>
      <c r="I48" s="499"/>
      <c r="J48" s="1297"/>
      <c r="K48" s="1298"/>
    </row>
    <row r="49" spans="7:11" ht="16.5" thickTop="1"/>
    <row r="51" spans="7:11" s="487" customFormat="1" ht="31.5" customHeight="1">
      <c r="G51" s="1269" t="s">
        <v>940</v>
      </c>
      <c r="H51" s="1269"/>
      <c r="I51" s="1270" t="s">
        <v>941</v>
      </c>
      <c r="J51" s="1270"/>
      <c r="K51" s="1270"/>
    </row>
  </sheetData>
  <mergeCells count="61">
    <mergeCell ref="A43:A48"/>
    <mergeCell ref="J41:K41"/>
    <mergeCell ref="J36:K36"/>
    <mergeCell ref="J37:K37"/>
    <mergeCell ref="J38:K38"/>
    <mergeCell ref="J39:K39"/>
    <mergeCell ref="J40:K40"/>
    <mergeCell ref="J47:K47"/>
    <mergeCell ref="A2:K2"/>
    <mergeCell ref="A11:A12"/>
    <mergeCell ref="B11:B12"/>
    <mergeCell ref="C11:C12"/>
    <mergeCell ref="F11:H11"/>
    <mergeCell ref="I11:I12"/>
    <mergeCell ref="J11:K12"/>
    <mergeCell ref="A9:C9"/>
    <mergeCell ref="I8:J8"/>
    <mergeCell ref="I9:J9"/>
    <mergeCell ref="A6:C6"/>
    <mergeCell ref="A7:C7"/>
    <mergeCell ref="A8:C8"/>
    <mergeCell ref="E11:E12"/>
    <mergeCell ref="A13:K13"/>
    <mergeCell ref="A14:A19"/>
    <mergeCell ref="J14:K14"/>
    <mergeCell ref="J15:K15"/>
    <mergeCell ref="J16:K16"/>
    <mergeCell ref="J17:K17"/>
    <mergeCell ref="J19:K19"/>
    <mergeCell ref="J18:K18"/>
    <mergeCell ref="J1:K1"/>
    <mergeCell ref="D11:D12"/>
    <mergeCell ref="A4:H5"/>
    <mergeCell ref="G51:H51"/>
    <mergeCell ref="I51:K51"/>
    <mergeCell ref="I5:J5"/>
    <mergeCell ref="I7:J7"/>
    <mergeCell ref="I6:J6"/>
    <mergeCell ref="A35:K35"/>
    <mergeCell ref="A36:A41"/>
    <mergeCell ref="J43:K43"/>
    <mergeCell ref="J44:K44"/>
    <mergeCell ref="J45:K45"/>
    <mergeCell ref="J46:K46"/>
    <mergeCell ref="J48:K48"/>
    <mergeCell ref="A27:K27"/>
    <mergeCell ref="J25:K25"/>
    <mergeCell ref="J32:K32"/>
    <mergeCell ref="A20:K20"/>
    <mergeCell ref="A21:A26"/>
    <mergeCell ref="J21:K21"/>
    <mergeCell ref="J22:K22"/>
    <mergeCell ref="J23:K23"/>
    <mergeCell ref="J24:K24"/>
    <mergeCell ref="J26:K26"/>
    <mergeCell ref="A28:A34"/>
    <mergeCell ref="J28:K28"/>
    <mergeCell ref="J29:K29"/>
    <mergeCell ref="J30:K30"/>
    <mergeCell ref="J31:K31"/>
    <mergeCell ref="J34:K34"/>
  </mergeCells>
  <printOptions horizontalCentered="1"/>
  <pageMargins left="0.45" right="0.2" top="0.67500000000000004" bottom="0.25" header="0.25" footer="0.05"/>
  <pageSetup paperSize="9" scale="92" fitToWidth="0" orientation="landscape" r:id="rId1"/>
  <rowBreaks count="1" manualBreakCount="1">
    <brk id="26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FF648"/>
  </sheetPr>
  <dimension ref="A1:S92"/>
  <sheetViews>
    <sheetView view="pageBreakPreview" zoomScaleSheetLayoutView="100" workbookViewId="0">
      <pane xSplit="2" ySplit="8" topLeftCell="C79" activePane="bottomRight" state="frozen"/>
      <selection pane="topRight" activeCell="C1" sqref="C1"/>
      <selection pane="bottomLeft" activeCell="A9" sqref="A9"/>
      <selection pane="bottomRight" activeCell="F85" sqref="F85"/>
    </sheetView>
  </sheetViews>
  <sheetFormatPr defaultRowHeight="12.75"/>
  <cols>
    <col min="1" max="1" width="10.140625" style="629" customWidth="1"/>
    <col min="2" max="2" width="42" style="629" customWidth="1"/>
    <col min="3" max="3" width="11.7109375" style="673" customWidth="1"/>
    <col min="4" max="4" width="6.85546875" style="629" customWidth="1"/>
    <col min="5" max="5" width="6.42578125" style="629" customWidth="1"/>
    <col min="6" max="6" width="6.85546875" style="629" customWidth="1"/>
    <col min="7" max="7" width="9" style="629" bestFit="1" customWidth="1"/>
    <col min="8" max="8" width="13.7109375" style="629" bestFit="1" customWidth="1"/>
    <col min="9" max="9" width="7.5703125" style="629" bestFit="1" customWidth="1"/>
    <col min="10" max="16384" width="9.140625" style="629"/>
  </cols>
  <sheetData>
    <row r="1" spans="1:19" s="630" customFormat="1" ht="20.25" customHeight="1">
      <c r="C1" s="1155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</row>
    <row r="2" spans="1:19" s="630" customFormat="1" ht="25.5" customHeight="1">
      <c r="A2" s="1340" t="s">
        <v>989</v>
      </c>
      <c r="B2" s="1341"/>
      <c r="C2" s="134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</row>
    <row r="3" spans="1:19" s="630" customFormat="1" ht="11.25" customHeight="1">
      <c r="A3" s="632"/>
      <c r="B3" s="633"/>
      <c r="C3" s="667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</row>
    <row r="4" spans="1:19" s="630" customFormat="1" ht="16.5" customHeight="1">
      <c r="A4" s="1336" t="s">
        <v>1510</v>
      </c>
      <c r="B4" s="1336"/>
      <c r="C4" s="1336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</row>
    <row r="5" spans="1:19" s="627" customFormat="1" ht="18" customHeight="1">
      <c r="B5" s="634"/>
      <c r="C5" s="668" t="s">
        <v>822</v>
      </c>
      <c r="D5" s="635"/>
      <c r="E5" s="635"/>
      <c r="F5" s="635"/>
      <c r="G5" s="635"/>
      <c r="Q5" s="628"/>
      <c r="R5" s="628"/>
    </row>
    <row r="6" spans="1:19" s="639" customFormat="1" ht="21" customHeight="1">
      <c r="A6" s="1342" t="s">
        <v>160</v>
      </c>
      <c r="B6" s="1342" t="s">
        <v>161</v>
      </c>
      <c r="C6" s="1343" t="s">
        <v>1199</v>
      </c>
      <c r="D6" s="636"/>
      <c r="E6" s="636"/>
      <c r="F6" s="636"/>
      <c r="G6" s="637"/>
      <c r="H6" s="638"/>
      <c r="I6" s="638"/>
      <c r="J6" s="638"/>
      <c r="Q6" s="640"/>
    </row>
    <row r="7" spans="1:19" s="641" customFormat="1">
      <c r="A7" s="1342"/>
      <c r="B7" s="1342"/>
      <c r="C7" s="1344"/>
      <c r="G7" s="627"/>
      <c r="H7" s="627"/>
      <c r="I7" s="627"/>
      <c r="J7" s="627"/>
      <c r="Q7" s="642"/>
      <c r="R7" s="643"/>
      <c r="S7" s="644"/>
    </row>
    <row r="8" spans="1:19" s="627" customFormat="1" ht="7.5" customHeight="1">
      <c r="A8" s="1337"/>
      <c r="B8" s="1338"/>
      <c r="C8" s="1339"/>
      <c r="D8" s="637"/>
      <c r="E8" s="637"/>
      <c r="F8" s="637"/>
      <c r="G8" s="637"/>
      <c r="Q8" s="628"/>
      <c r="R8" s="628"/>
    </row>
    <row r="9" spans="1:19" s="627" customFormat="1" ht="20.25" customHeight="1">
      <c r="A9" s="1345" t="s">
        <v>1716</v>
      </c>
      <c r="B9" s="1346"/>
      <c r="C9" s="1192" t="s">
        <v>1721</v>
      </c>
      <c r="D9" s="637"/>
      <c r="E9" s="637"/>
      <c r="F9" s="637"/>
      <c r="G9" s="637"/>
      <c r="Q9" s="628"/>
      <c r="R9" s="628"/>
    </row>
    <row r="10" spans="1:19" ht="20.100000000000001" customHeight="1">
      <c r="A10" s="645" t="s">
        <v>287</v>
      </c>
      <c r="B10" s="646" t="s">
        <v>469</v>
      </c>
      <c r="C10" s="670">
        <v>1731.6673000000003</v>
      </c>
      <c r="G10" s="730" t="e">
        <f>#REF!-1681.395</f>
        <v>#REF!</v>
      </c>
      <c r="I10" s="730" t="e">
        <f>+#REF!+#REF!</f>
        <v>#REF!</v>
      </c>
    </row>
    <row r="11" spans="1:19" ht="20.100000000000001" customHeight="1">
      <c r="A11" s="647" t="s">
        <v>288</v>
      </c>
      <c r="B11" s="648" t="s">
        <v>444</v>
      </c>
      <c r="C11" s="671">
        <v>323.85650000000004</v>
      </c>
      <c r="G11" s="730" t="e">
        <f>+#REF!+#REF!</f>
        <v>#REF!</v>
      </c>
    </row>
    <row r="12" spans="1:19" ht="20.100000000000001" customHeight="1">
      <c r="A12" s="647" t="s">
        <v>289</v>
      </c>
      <c r="B12" s="648" t="s">
        <v>445</v>
      </c>
      <c r="C12" s="671">
        <v>410.67399999999998</v>
      </c>
      <c r="G12" s="730" t="e">
        <f>G11-1100</f>
        <v>#REF!</v>
      </c>
    </row>
    <row r="13" spans="1:19" ht="20.100000000000001" customHeight="1">
      <c r="A13" s="647" t="s">
        <v>446</v>
      </c>
      <c r="B13" s="648" t="s">
        <v>447</v>
      </c>
      <c r="C13" s="671">
        <v>438.54470000000003</v>
      </c>
    </row>
    <row r="14" spans="1:19" ht="20.100000000000001" hidden="1" customHeight="1">
      <c r="A14" s="647" t="s">
        <v>448</v>
      </c>
      <c r="B14" s="648" t="s">
        <v>449</v>
      </c>
      <c r="C14" s="671">
        <v>0</v>
      </c>
    </row>
    <row r="15" spans="1:19" ht="20.100000000000001" customHeight="1">
      <c r="A15" s="647" t="s">
        <v>450</v>
      </c>
      <c r="B15" s="648" t="s">
        <v>451</v>
      </c>
      <c r="C15" s="671">
        <v>12.169300000000002</v>
      </c>
    </row>
    <row r="16" spans="1:19" ht="20.100000000000001" customHeight="1">
      <c r="A16" s="647" t="s">
        <v>452</v>
      </c>
      <c r="B16" s="649" t="s">
        <v>711</v>
      </c>
      <c r="C16" s="671">
        <v>8.4700000000000006</v>
      </c>
    </row>
    <row r="17" spans="1:7" ht="20.100000000000001" customHeight="1">
      <c r="A17" s="647" t="s">
        <v>453</v>
      </c>
      <c r="B17" s="648" t="s">
        <v>454</v>
      </c>
      <c r="C17" s="671">
        <v>36.300000000000004</v>
      </c>
    </row>
    <row r="18" spans="1:7" ht="20.100000000000001" customHeight="1">
      <c r="A18" s="647" t="s">
        <v>455</v>
      </c>
      <c r="B18" s="704" t="s">
        <v>713</v>
      </c>
      <c r="C18" s="671">
        <v>363.00000000000006</v>
      </c>
    </row>
    <row r="19" spans="1:7" ht="20.100000000000001" hidden="1" customHeight="1">
      <c r="A19" s="647" t="s">
        <v>456</v>
      </c>
      <c r="B19" s="704" t="s">
        <v>457</v>
      </c>
      <c r="C19" s="671">
        <v>0</v>
      </c>
    </row>
    <row r="20" spans="1:7" ht="20.100000000000001" customHeight="1">
      <c r="A20" s="647" t="s">
        <v>458</v>
      </c>
      <c r="B20" s="704" t="s">
        <v>1306</v>
      </c>
      <c r="C20" s="671">
        <v>10.738200000000001</v>
      </c>
    </row>
    <row r="21" spans="1:7" ht="20.100000000000001" customHeight="1">
      <c r="A21" s="647" t="s">
        <v>460</v>
      </c>
      <c r="B21" s="648" t="s">
        <v>461</v>
      </c>
      <c r="C21" s="671">
        <v>8.4700000000000006</v>
      </c>
    </row>
    <row r="22" spans="1:7" ht="20.100000000000001" customHeight="1">
      <c r="A22" s="647" t="s">
        <v>462</v>
      </c>
      <c r="B22" s="648" t="s">
        <v>463</v>
      </c>
      <c r="C22" s="671">
        <v>36.300000000000004</v>
      </c>
    </row>
    <row r="23" spans="1:7" ht="25.5" hidden="1">
      <c r="A23" s="647" t="s">
        <v>464</v>
      </c>
      <c r="B23" s="648" t="s">
        <v>465</v>
      </c>
      <c r="C23" s="671">
        <v>0</v>
      </c>
    </row>
    <row r="24" spans="1:7" ht="25.5" hidden="1">
      <c r="A24" s="647" t="s">
        <v>466</v>
      </c>
      <c r="B24" s="648" t="s">
        <v>712</v>
      </c>
      <c r="C24" s="671">
        <v>0</v>
      </c>
    </row>
    <row r="25" spans="1:7" ht="20.100000000000001" customHeight="1">
      <c r="A25" s="647" t="s">
        <v>773</v>
      </c>
      <c r="B25" s="648" t="s">
        <v>816</v>
      </c>
      <c r="C25" s="671">
        <v>2.1934</v>
      </c>
      <c r="D25" s="629" t="s">
        <v>821</v>
      </c>
    </row>
    <row r="26" spans="1:7" ht="20.100000000000001" hidden="1" customHeight="1">
      <c r="A26" s="647" t="s">
        <v>817</v>
      </c>
      <c r="B26" s="648" t="s">
        <v>819</v>
      </c>
      <c r="C26" s="671">
        <v>0</v>
      </c>
      <c r="D26" s="629" t="s">
        <v>821</v>
      </c>
    </row>
    <row r="27" spans="1:7" ht="20.100000000000001" hidden="1" customHeight="1">
      <c r="A27" s="647" t="s">
        <v>818</v>
      </c>
      <c r="B27" s="648" t="s">
        <v>820</v>
      </c>
      <c r="C27" s="671">
        <v>0</v>
      </c>
      <c r="D27" s="629" t="s">
        <v>821</v>
      </c>
    </row>
    <row r="28" spans="1:7" ht="20.100000000000001" customHeight="1">
      <c r="A28" s="647" t="s">
        <v>467</v>
      </c>
      <c r="B28" s="648" t="s">
        <v>468</v>
      </c>
      <c r="C28" s="671">
        <v>80.9512</v>
      </c>
    </row>
    <row r="29" spans="1:7" ht="20.100000000000001" customHeight="1">
      <c r="A29" s="645" t="s">
        <v>481</v>
      </c>
      <c r="B29" s="646" t="s">
        <v>482</v>
      </c>
      <c r="C29" s="670">
        <v>117.8672</v>
      </c>
      <c r="G29" s="1069" t="e">
        <f>#REF!-80.08</f>
        <v>#REF!</v>
      </c>
    </row>
    <row r="30" spans="1:7" ht="20.100000000000001" customHeight="1">
      <c r="A30" s="647" t="s">
        <v>290</v>
      </c>
      <c r="B30" s="648" t="s">
        <v>470</v>
      </c>
      <c r="C30" s="671">
        <v>32.253100000000003</v>
      </c>
    </row>
    <row r="31" spans="1:7" ht="20.100000000000001" customHeight="1">
      <c r="A31" s="647" t="s">
        <v>471</v>
      </c>
      <c r="B31" s="648" t="s">
        <v>472</v>
      </c>
      <c r="C31" s="671">
        <v>21.2729</v>
      </c>
    </row>
    <row r="32" spans="1:7" ht="20.100000000000001" customHeight="1">
      <c r="A32" s="647" t="s">
        <v>473</v>
      </c>
      <c r="B32" s="648" t="s">
        <v>474</v>
      </c>
      <c r="C32" s="671">
        <v>38.163400000000003</v>
      </c>
    </row>
    <row r="33" spans="1:3" ht="20.100000000000001" customHeight="1">
      <c r="A33" s="647" t="s">
        <v>475</v>
      </c>
      <c r="B33" s="648" t="s">
        <v>476</v>
      </c>
      <c r="C33" s="671">
        <v>21.2729</v>
      </c>
    </row>
    <row r="34" spans="1:3" ht="20.100000000000001" customHeight="1">
      <c r="A34" s="647" t="s">
        <v>477</v>
      </c>
      <c r="B34" s="648" t="s">
        <v>478</v>
      </c>
      <c r="C34" s="671">
        <v>4.9048999999999996</v>
      </c>
    </row>
    <row r="35" spans="1:3" ht="20.100000000000001" hidden="1" customHeight="1">
      <c r="A35" s="647" t="s">
        <v>479</v>
      </c>
      <c r="B35" s="648" t="s">
        <v>480</v>
      </c>
      <c r="C35" s="671"/>
    </row>
    <row r="36" spans="1:3" ht="20.100000000000001" customHeight="1">
      <c r="A36" s="647"/>
      <c r="B36" s="648"/>
      <c r="C36" s="671"/>
    </row>
    <row r="37" spans="1:3" ht="20.100000000000001" customHeight="1">
      <c r="A37" s="1345" t="s">
        <v>1717</v>
      </c>
      <c r="B37" s="1346"/>
      <c r="C37" s="1191" t="s">
        <v>1722</v>
      </c>
    </row>
    <row r="38" spans="1:3" ht="20.100000000000001" customHeight="1">
      <c r="A38" s="645" t="s">
        <v>483</v>
      </c>
      <c r="B38" s="646" t="s">
        <v>484</v>
      </c>
      <c r="C38" s="670">
        <v>0</v>
      </c>
    </row>
    <row r="39" spans="1:3" ht="25.5">
      <c r="A39" s="645" t="s">
        <v>494</v>
      </c>
      <c r="B39" s="646" t="s">
        <v>718</v>
      </c>
      <c r="C39" s="670">
        <v>40.5</v>
      </c>
    </row>
    <row r="40" spans="1:3" ht="20.100000000000001" customHeight="1">
      <c r="A40" s="647" t="s">
        <v>292</v>
      </c>
      <c r="B40" s="648" t="s">
        <v>485</v>
      </c>
      <c r="C40" s="671">
        <v>11</v>
      </c>
    </row>
    <row r="41" spans="1:3" ht="20.100000000000001" hidden="1" customHeight="1">
      <c r="A41" s="647" t="s">
        <v>486</v>
      </c>
      <c r="B41" s="648" t="s">
        <v>487</v>
      </c>
      <c r="C41" s="671"/>
    </row>
    <row r="42" spans="1:3" ht="20.100000000000001" customHeight="1">
      <c r="A42" s="647" t="s">
        <v>488</v>
      </c>
      <c r="B42" s="648" t="s">
        <v>1603</v>
      </c>
      <c r="C42" s="671">
        <v>29.5</v>
      </c>
    </row>
    <row r="43" spans="1:3" ht="25.5" hidden="1">
      <c r="A43" s="647" t="s">
        <v>490</v>
      </c>
      <c r="B43" s="648" t="s">
        <v>714</v>
      </c>
      <c r="C43" s="671"/>
    </row>
    <row r="44" spans="1:3" ht="25.5" hidden="1">
      <c r="A44" s="647" t="s">
        <v>491</v>
      </c>
      <c r="B44" s="648" t="s">
        <v>715</v>
      </c>
      <c r="C44" s="671"/>
    </row>
    <row r="45" spans="1:3" ht="20.100000000000001" hidden="1" customHeight="1">
      <c r="A45" s="647" t="s">
        <v>492</v>
      </c>
      <c r="B45" s="648" t="s">
        <v>493</v>
      </c>
      <c r="C45" s="671"/>
    </row>
    <row r="46" spans="1:3" ht="15.75" hidden="1" customHeight="1">
      <c r="A46" s="647"/>
      <c r="B46" s="648"/>
      <c r="C46" s="671"/>
    </row>
    <row r="47" spans="1:3" ht="25.5">
      <c r="A47" s="645" t="s">
        <v>494</v>
      </c>
      <c r="B47" s="646" t="s">
        <v>716</v>
      </c>
      <c r="C47" s="670">
        <v>5.5</v>
      </c>
    </row>
    <row r="48" spans="1:3" ht="20.100000000000001" customHeight="1">
      <c r="A48" s="647" t="s">
        <v>495</v>
      </c>
      <c r="B48" s="648" t="s">
        <v>496</v>
      </c>
      <c r="C48" s="671">
        <v>5.5</v>
      </c>
    </row>
    <row r="49" spans="1:3" ht="20.100000000000001" hidden="1" customHeight="1">
      <c r="A49" s="647" t="s">
        <v>497</v>
      </c>
      <c r="B49" s="648" t="s">
        <v>498</v>
      </c>
      <c r="C49" s="671"/>
    </row>
    <row r="50" spans="1:3" ht="25.5" hidden="1">
      <c r="A50" s="647" t="s">
        <v>499</v>
      </c>
      <c r="B50" s="648" t="s">
        <v>500</v>
      </c>
      <c r="C50" s="671"/>
    </row>
    <row r="51" spans="1:3" ht="25.5" hidden="1">
      <c r="A51" s="647" t="s">
        <v>501</v>
      </c>
      <c r="B51" s="648" t="s">
        <v>502</v>
      </c>
      <c r="C51" s="671"/>
    </row>
    <row r="52" spans="1:3" ht="20.100000000000001" hidden="1" customHeight="1">
      <c r="A52" s="647" t="s">
        <v>503</v>
      </c>
      <c r="B52" s="648" t="s">
        <v>504</v>
      </c>
      <c r="C52" s="671"/>
    </row>
    <row r="53" spans="1:3" ht="25.5" hidden="1">
      <c r="A53" s="645" t="s">
        <v>291</v>
      </c>
      <c r="B53" s="650" t="s">
        <v>513</v>
      </c>
      <c r="C53" s="670">
        <v>0</v>
      </c>
    </row>
    <row r="54" spans="1:3" ht="25.5" hidden="1">
      <c r="A54" s="647" t="s">
        <v>505</v>
      </c>
      <c r="B54" s="648" t="s">
        <v>506</v>
      </c>
      <c r="C54" s="671"/>
    </row>
    <row r="55" spans="1:3" ht="25.5" hidden="1">
      <c r="A55" s="647" t="s">
        <v>507</v>
      </c>
      <c r="B55" s="648" t="s">
        <v>508</v>
      </c>
      <c r="C55" s="671"/>
    </row>
    <row r="56" spans="1:3" ht="25.5" hidden="1">
      <c r="A56" s="647" t="s">
        <v>509</v>
      </c>
      <c r="B56" s="648" t="s">
        <v>510</v>
      </c>
      <c r="C56" s="671"/>
    </row>
    <row r="57" spans="1:3" ht="25.5" hidden="1">
      <c r="A57" s="647" t="s">
        <v>511</v>
      </c>
      <c r="B57" s="648" t="s">
        <v>512</v>
      </c>
      <c r="C57" s="671"/>
    </row>
    <row r="58" spans="1:3" ht="25.5" hidden="1">
      <c r="A58" s="645" t="s">
        <v>530</v>
      </c>
      <c r="B58" s="650" t="s">
        <v>717</v>
      </c>
      <c r="C58" s="670">
        <v>0</v>
      </c>
    </row>
    <row r="59" spans="1:3" ht="20.100000000000001" hidden="1" customHeight="1">
      <c r="A59" s="647" t="s">
        <v>514</v>
      </c>
      <c r="B59" s="648" t="s">
        <v>515</v>
      </c>
      <c r="C59" s="671"/>
    </row>
    <row r="60" spans="1:3" ht="25.5" hidden="1">
      <c r="A60" s="647" t="s">
        <v>516</v>
      </c>
      <c r="B60" s="648" t="s">
        <v>517</v>
      </c>
      <c r="C60" s="671"/>
    </row>
    <row r="61" spans="1:3" ht="25.5" hidden="1">
      <c r="A61" s="647" t="s">
        <v>518</v>
      </c>
      <c r="B61" s="648" t="s">
        <v>519</v>
      </c>
      <c r="C61" s="671"/>
    </row>
    <row r="62" spans="1:3" ht="20.100000000000001" hidden="1" customHeight="1">
      <c r="A62" s="647" t="s">
        <v>520</v>
      </c>
      <c r="B62" s="648" t="s">
        <v>521</v>
      </c>
      <c r="C62" s="671"/>
    </row>
    <row r="63" spans="1:3" ht="20.100000000000001" hidden="1" customHeight="1">
      <c r="A63" s="647" t="s">
        <v>522</v>
      </c>
      <c r="B63" s="648" t="s">
        <v>523</v>
      </c>
      <c r="C63" s="671"/>
    </row>
    <row r="64" spans="1:3" ht="20.100000000000001" hidden="1" customHeight="1">
      <c r="A64" s="647" t="s">
        <v>524</v>
      </c>
      <c r="B64" s="648" t="s">
        <v>525</v>
      </c>
      <c r="C64" s="671"/>
    </row>
    <row r="65" spans="1:3" ht="20.100000000000001" hidden="1" customHeight="1">
      <c r="A65" s="647" t="s">
        <v>526</v>
      </c>
      <c r="B65" s="648" t="s">
        <v>527</v>
      </c>
      <c r="C65" s="671"/>
    </row>
    <row r="66" spans="1:3" ht="20.100000000000001" hidden="1" customHeight="1">
      <c r="A66" s="647" t="s">
        <v>528</v>
      </c>
      <c r="B66" s="648" t="s">
        <v>529</v>
      </c>
      <c r="C66" s="671"/>
    </row>
    <row r="67" spans="1:3" ht="20.100000000000001" customHeight="1">
      <c r="A67" s="645" t="s">
        <v>544</v>
      </c>
      <c r="B67" s="646" t="s">
        <v>545</v>
      </c>
      <c r="C67" s="670">
        <v>359.47570000000002</v>
      </c>
    </row>
    <row r="68" spans="1:3" ht="20.100000000000001" customHeight="1">
      <c r="A68" s="647" t="s">
        <v>293</v>
      </c>
      <c r="B68" s="648" t="s">
        <v>531</v>
      </c>
      <c r="C68" s="671">
        <v>19.0762</v>
      </c>
    </row>
    <row r="69" spans="1:3" ht="20.100000000000001" customHeight="1">
      <c r="A69" s="647" t="s">
        <v>532</v>
      </c>
      <c r="B69" s="648" t="s">
        <v>533</v>
      </c>
      <c r="C69" s="671">
        <v>0.10890000000000001</v>
      </c>
    </row>
    <row r="70" spans="1:3" ht="20.100000000000001" customHeight="1">
      <c r="A70" s="647" t="s">
        <v>534</v>
      </c>
      <c r="B70" s="648" t="s">
        <v>535</v>
      </c>
      <c r="C70" s="671">
        <v>42.501800000000003</v>
      </c>
    </row>
    <row r="71" spans="1:3" ht="20.100000000000001" customHeight="1">
      <c r="A71" s="647" t="s">
        <v>536</v>
      </c>
      <c r="B71" s="648" t="s">
        <v>537</v>
      </c>
      <c r="C71" s="671">
        <v>0</v>
      </c>
    </row>
    <row r="72" spans="1:3" ht="20.100000000000001" customHeight="1">
      <c r="A72" s="647" t="s">
        <v>1236</v>
      </c>
      <c r="B72" s="648" t="s">
        <v>1239</v>
      </c>
      <c r="C72" s="671">
        <v>7.26</v>
      </c>
    </row>
    <row r="73" spans="1:3" ht="20.100000000000001" customHeight="1">
      <c r="A73" s="647" t="s">
        <v>1237</v>
      </c>
      <c r="B73" s="648" t="s">
        <v>1240</v>
      </c>
      <c r="C73" s="671">
        <v>11</v>
      </c>
    </row>
    <row r="74" spans="1:3" ht="20.100000000000001" customHeight="1">
      <c r="A74" s="897" t="s">
        <v>1498</v>
      </c>
      <c r="B74" s="648" t="s">
        <v>1508</v>
      </c>
      <c r="C74" s="671"/>
    </row>
    <row r="75" spans="1:3" ht="20.100000000000001" customHeight="1">
      <c r="A75" s="647" t="s">
        <v>1238</v>
      </c>
      <c r="B75" s="648" t="s">
        <v>1241</v>
      </c>
      <c r="C75" s="671">
        <v>21.824000000000002</v>
      </c>
    </row>
    <row r="76" spans="1:3" ht="20.100000000000001" customHeight="1">
      <c r="A76" s="647" t="s">
        <v>1242</v>
      </c>
      <c r="B76" s="648" t="s">
        <v>537</v>
      </c>
      <c r="C76" s="671">
        <v>16.5</v>
      </c>
    </row>
    <row r="77" spans="1:3" ht="20.100000000000001" customHeight="1">
      <c r="A77" s="647" t="s">
        <v>538</v>
      </c>
      <c r="B77" s="648" t="s">
        <v>539</v>
      </c>
      <c r="C77" s="671">
        <v>0</v>
      </c>
    </row>
    <row r="78" spans="1:3" ht="20.100000000000001" customHeight="1">
      <c r="A78" s="647" t="s">
        <v>540</v>
      </c>
      <c r="B78" s="648" t="s">
        <v>541</v>
      </c>
      <c r="C78" s="671">
        <v>4.8312000000000008</v>
      </c>
    </row>
    <row r="79" spans="1:3" ht="20.100000000000001" customHeight="1">
      <c r="A79" s="647" t="s">
        <v>542</v>
      </c>
      <c r="B79" s="651" t="s">
        <v>543</v>
      </c>
      <c r="C79" s="671">
        <v>0</v>
      </c>
    </row>
    <row r="80" spans="1:3" ht="20.100000000000001" customHeight="1">
      <c r="A80" s="647" t="s">
        <v>1243</v>
      </c>
      <c r="B80" s="648" t="s">
        <v>1247</v>
      </c>
      <c r="C80" s="671">
        <v>76.623800000000003</v>
      </c>
    </row>
    <row r="81" spans="1:4" ht="20.100000000000001" customHeight="1">
      <c r="A81" s="647" t="s">
        <v>1244</v>
      </c>
      <c r="B81" s="648" t="s">
        <v>1248</v>
      </c>
      <c r="C81" s="671">
        <v>1.1000000000000001E-3</v>
      </c>
    </row>
    <row r="82" spans="1:4" ht="20.100000000000001" customHeight="1">
      <c r="A82" s="647" t="s">
        <v>1245</v>
      </c>
      <c r="B82" s="648" t="s">
        <v>1249</v>
      </c>
      <c r="C82" s="671">
        <v>2.1779999999999999</v>
      </c>
    </row>
    <row r="83" spans="1:4" ht="20.100000000000001" customHeight="1">
      <c r="A83" s="647" t="s">
        <v>1246</v>
      </c>
      <c r="B83" s="651" t="s">
        <v>543</v>
      </c>
      <c r="C83" s="671">
        <v>50.970700000000008</v>
      </c>
    </row>
    <row r="84" spans="1:4" ht="20.100000000000001" customHeight="1">
      <c r="A84" s="647" t="s">
        <v>1250</v>
      </c>
      <c r="B84" s="651" t="s">
        <v>1251</v>
      </c>
      <c r="C84" s="671">
        <v>6.6000000000000005</v>
      </c>
    </row>
    <row r="85" spans="1:4" ht="20.100000000000001" customHeight="1">
      <c r="A85" s="647"/>
      <c r="B85" s="651" t="s">
        <v>1641</v>
      </c>
      <c r="C85" s="671">
        <v>50</v>
      </c>
    </row>
    <row r="86" spans="1:4" ht="20.100000000000001" customHeight="1">
      <c r="A86" s="647"/>
      <c r="B86" s="651" t="s">
        <v>1642</v>
      </c>
      <c r="C86" s="671">
        <v>50</v>
      </c>
    </row>
    <row r="87" spans="1:4" ht="20.100000000000001" customHeight="1">
      <c r="A87" s="652"/>
      <c r="B87" s="653" t="s">
        <v>722</v>
      </c>
      <c r="C87" s="921">
        <v>2255.0102000000002</v>
      </c>
    </row>
    <row r="88" spans="1:4" ht="20.100000000000001" customHeight="1"/>
    <row r="89" spans="1:4" ht="29.25" customHeight="1"/>
    <row r="90" spans="1:4" ht="29.25" customHeight="1"/>
    <row r="91" spans="1:4" ht="20.100000000000001" customHeight="1"/>
    <row r="92" spans="1:4" ht="20.100000000000001" customHeight="1">
      <c r="C92" s="1169"/>
      <c r="D92" s="654"/>
    </row>
  </sheetData>
  <mergeCells count="8">
    <mergeCell ref="A4:C4"/>
    <mergeCell ref="A8:C8"/>
    <mergeCell ref="A2:C2"/>
    <mergeCell ref="A6:A7"/>
    <mergeCell ref="B6:B7"/>
    <mergeCell ref="C6:C7"/>
    <mergeCell ref="A9:B9"/>
    <mergeCell ref="A37:B37"/>
  </mergeCells>
  <printOptions horizontalCentered="1"/>
  <pageMargins left="0.6" right="0.25" top="0.25" bottom="0.25" header="0.25" footer="0.15"/>
  <pageSetup paperSize="9" scale="75" orientation="portrait" r:id="rId1"/>
  <rowBreaks count="1" manualBreakCount="1">
    <brk id="36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FF648"/>
  </sheetPr>
  <dimension ref="A1:S74"/>
  <sheetViews>
    <sheetView showGridLines="0" view="pageBreakPreview" zoomScale="110" zoomScaleSheetLayoutView="110" workbookViewId="0">
      <pane xSplit="2" ySplit="7" topLeftCell="C42" activePane="bottomRight" state="frozen"/>
      <selection pane="topRight" activeCell="C1" sqref="C1"/>
      <selection pane="bottomLeft" activeCell="A8" sqref="A8"/>
      <selection pane="bottomRight" activeCell="C1" sqref="C1:G1048576"/>
    </sheetView>
  </sheetViews>
  <sheetFormatPr defaultRowHeight="14.25"/>
  <cols>
    <col min="1" max="1" width="12.5703125" style="164" customWidth="1"/>
    <col min="2" max="2" width="54.140625" style="164" customWidth="1"/>
    <col min="3" max="3" width="28.42578125" style="685" customWidth="1"/>
    <col min="4" max="4" width="6.85546875" style="164" customWidth="1"/>
    <col min="5" max="5" width="6.42578125" style="164" customWidth="1"/>
    <col min="6" max="6" width="6.85546875" style="164" customWidth="1"/>
    <col min="7" max="7" width="34.140625" style="164" customWidth="1"/>
    <col min="8" max="8" width="13.7109375" style="164" customWidth="1"/>
    <col min="9" max="9" width="8.7109375" style="164" bestFit="1" customWidth="1"/>
    <col min="10" max="10" width="14.85546875" style="164" bestFit="1" customWidth="1"/>
    <col min="11" max="11" width="25.28515625" style="685" customWidth="1"/>
    <col min="12" max="16384" width="9.140625" style="164"/>
  </cols>
  <sheetData>
    <row r="1" spans="1:19" ht="15.75">
      <c r="A1" s="153"/>
      <c r="B1" s="153"/>
      <c r="C1" s="1157" t="s">
        <v>1720</v>
      </c>
    </row>
    <row r="2" spans="1:19" ht="23.25">
      <c r="A2" s="1363" t="s">
        <v>546</v>
      </c>
      <c r="B2" s="1363"/>
      <c r="C2" s="1363"/>
    </row>
    <row r="3" spans="1:19" ht="20.25">
      <c r="A3" s="426"/>
      <c r="B3" s="426"/>
      <c r="C3" s="676"/>
    </row>
    <row r="4" spans="1:19" s="148" customFormat="1" ht="16.5" customHeight="1">
      <c r="A4" s="1362" t="s">
        <v>1511</v>
      </c>
      <c r="B4" s="1362"/>
      <c r="C4" s="1362"/>
      <c r="D4" s="149"/>
      <c r="E4" s="149"/>
      <c r="F4" s="149"/>
      <c r="G4" s="149"/>
      <c r="H4" s="149"/>
      <c r="I4" s="149"/>
      <c r="J4" s="149"/>
      <c r="K4" s="732"/>
      <c r="L4" s="149"/>
      <c r="M4" s="149"/>
      <c r="N4" s="149"/>
      <c r="O4" s="149"/>
      <c r="P4" s="149"/>
    </row>
    <row r="5" spans="1:19" s="168" customFormat="1" ht="14.25" customHeight="1">
      <c r="A5" s="180"/>
      <c r="B5" s="180"/>
      <c r="C5" s="677" t="s">
        <v>547</v>
      </c>
      <c r="D5" s="2"/>
      <c r="E5" s="2"/>
      <c r="F5" s="2"/>
      <c r="G5" s="3"/>
      <c r="H5" s="167"/>
      <c r="I5" s="167"/>
      <c r="J5" s="167"/>
      <c r="K5" s="1062"/>
      <c r="Q5" s="169"/>
    </row>
    <row r="6" spans="1:19" s="168" customFormat="1" ht="21" customHeight="1">
      <c r="A6" s="1364" t="s">
        <v>0</v>
      </c>
      <c r="B6" s="1364" t="s">
        <v>721</v>
      </c>
      <c r="C6" s="1365" t="s">
        <v>1199</v>
      </c>
      <c r="D6" s="2"/>
      <c r="E6" s="2"/>
      <c r="F6" s="2"/>
      <c r="G6" s="3"/>
      <c r="H6" s="167"/>
      <c r="I6" s="167"/>
      <c r="J6" s="167"/>
      <c r="K6" s="1062"/>
      <c r="Q6" s="169"/>
    </row>
    <row r="7" spans="1:19">
      <c r="A7" s="1364"/>
      <c r="B7" s="1364"/>
      <c r="C7" s="1366"/>
      <c r="G7" s="165"/>
      <c r="H7" s="165"/>
      <c r="I7" s="165"/>
      <c r="J7" s="165"/>
      <c r="Q7" s="170"/>
      <c r="R7" s="171"/>
      <c r="S7" s="166"/>
    </row>
    <row r="8" spans="1:19" ht="16.5" customHeight="1">
      <c r="A8" s="1349" t="s">
        <v>685</v>
      </c>
      <c r="B8" s="1350"/>
      <c r="C8" s="678">
        <v>804.26892999999995</v>
      </c>
      <c r="G8" s="893">
        <f>C8-875.391</f>
        <v>-71.122070000000008</v>
      </c>
    </row>
    <row r="9" spans="1:19" ht="16.5" customHeight="1">
      <c r="A9" s="973" t="s">
        <v>1</v>
      </c>
      <c r="B9" s="974" t="s">
        <v>2</v>
      </c>
      <c r="C9" s="975">
        <v>704.04071399999998</v>
      </c>
      <c r="G9" s="893" t="e">
        <f>+#REF!-#REF!</f>
        <v>#REF!</v>
      </c>
      <c r="Q9" s="170"/>
      <c r="R9" s="172"/>
      <c r="S9" s="170"/>
    </row>
    <row r="10" spans="1:19" ht="16.5" customHeight="1">
      <c r="A10" s="973" t="s">
        <v>3</v>
      </c>
      <c r="B10" s="974" t="s">
        <v>4</v>
      </c>
      <c r="C10" s="975">
        <v>2.33955</v>
      </c>
      <c r="G10" s="893" t="e">
        <f>+#REF!-#REF!</f>
        <v>#REF!</v>
      </c>
      <c r="R10" s="172"/>
      <c r="S10" s="170"/>
    </row>
    <row r="11" spans="1:19" ht="16.5" hidden="1" customHeight="1">
      <c r="A11" s="973" t="s">
        <v>5</v>
      </c>
      <c r="B11" s="974" t="s">
        <v>6</v>
      </c>
      <c r="C11" s="975"/>
      <c r="G11" s="893" t="e">
        <f>+#REF!-#REF!</f>
        <v>#REF!</v>
      </c>
      <c r="R11" s="172"/>
      <c r="S11" s="170"/>
    </row>
    <row r="12" spans="1:19" ht="16.5" hidden="1" customHeight="1">
      <c r="A12" s="973" t="s">
        <v>7</v>
      </c>
      <c r="B12" s="974" t="s">
        <v>8</v>
      </c>
      <c r="C12" s="975"/>
      <c r="G12" s="893" t="e">
        <f>+#REF!-#REF!</f>
        <v>#REF!</v>
      </c>
      <c r="R12" s="172"/>
      <c r="S12" s="170"/>
    </row>
    <row r="13" spans="1:19" ht="16.5" customHeight="1">
      <c r="A13" s="973" t="s">
        <v>9</v>
      </c>
      <c r="B13" s="974" t="s">
        <v>10</v>
      </c>
      <c r="C13" s="975"/>
      <c r="G13" s="893" t="e">
        <f>+#REF!-#REF!</f>
        <v>#REF!</v>
      </c>
      <c r="R13" s="170"/>
      <c r="S13" s="170"/>
    </row>
    <row r="14" spans="1:19" ht="16.5" hidden="1" customHeight="1">
      <c r="A14" s="973" t="s">
        <v>11</v>
      </c>
      <c r="B14" s="974" t="s">
        <v>12</v>
      </c>
      <c r="C14" s="975"/>
      <c r="G14" s="893" t="e">
        <f>+#REF!-#REF!</f>
        <v>#REF!</v>
      </c>
    </row>
    <row r="15" spans="1:19" ht="16.5" customHeight="1">
      <c r="A15" s="973" t="s">
        <v>13</v>
      </c>
      <c r="B15" s="974" t="s">
        <v>14</v>
      </c>
      <c r="C15" s="975">
        <v>97.888666000000001</v>
      </c>
      <c r="G15" s="893" t="e">
        <f>+#REF!-#REF!</f>
        <v>#REF!</v>
      </c>
    </row>
    <row r="16" spans="1:19" ht="16.5" hidden="1" customHeight="1">
      <c r="A16" s="973" t="s">
        <v>15</v>
      </c>
      <c r="B16" s="974" t="s">
        <v>16</v>
      </c>
      <c r="C16" s="975"/>
      <c r="G16" s="893" t="e">
        <f>+#REF!-#REF!</f>
        <v>#REF!</v>
      </c>
    </row>
    <row r="17" spans="1:10" ht="16.5" customHeight="1">
      <c r="A17" s="1351" t="s">
        <v>687</v>
      </c>
      <c r="B17" s="1352"/>
      <c r="C17" s="681">
        <v>382.82952</v>
      </c>
      <c r="G17" s="893">
        <f>+C17+C9</f>
        <v>1086.870234</v>
      </c>
    </row>
    <row r="18" spans="1:10" ht="16.5" customHeight="1">
      <c r="A18" s="973" t="s">
        <v>17</v>
      </c>
      <c r="B18" s="974" t="s">
        <v>2</v>
      </c>
      <c r="C18" s="975">
        <v>382.82952</v>
      </c>
      <c r="G18" s="893" t="e">
        <f>+#REF!-#REF!</f>
        <v>#REF!</v>
      </c>
    </row>
    <row r="19" spans="1:10" ht="16.5" hidden="1" customHeight="1">
      <c r="A19" s="973" t="s">
        <v>18</v>
      </c>
      <c r="B19" s="974" t="s">
        <v>4</v>
      </c>
      <c r="C19" s="975"/>
      <c r="G19" s="893" t="e">
        <f>+#REF!-#REF!</f>
        <v>#REF!</v>
      </c>
    </row>
    <row r="20" spans="1:10" ht="16.5" hidden="1" customHeight="1">
      <c r="A20" s="973" t="s">
        <v>19</v>
      </c>
      <c r="B20" s="974" t="s">
        <v>6</v>
      </c>
      <c r="C20" s="975"/>
      <c r="G20" s="893" t="e">
        <f>+#REF!-#REF!</f>
        <v>#REF!</v>
      </c>
    </row>
    <row r="21" spans="1:10" ht="16.5" hidden="1" customHeight="1">
      <c r="A21" s="973" t="s">
        <v>20</v>
      </c>
      <c r="B21" s="974" t="s">
        <v>10</v>
      </c>
      <c r="C21" s="975"/>
      <c r="G21" s="893" t="e">
        <f>+#REF!-#REF!</f>
        <v>#REF!</v>
      </c>
    </row>
    <row r="22" spans="1:10" ht="16.5" hidden="1" customHeight="1">
      <c r="A22" s="973" t="s">
        <v>21</v>
      </c>
      <c r="B22" s="974" t="s">
        <v>12</v>
      </c>
      <c r="C22" s="975"/>
      <c r="G22" s="893" t="e">
        <f>+#REF!-#REF!</f>
        <v>#REF!</v>
      </c>
    </row>
    <row r="23" spans="1:10" ht="16.5" hidden="1" customHeight="1">
      <c r="A23" s="973" t="s">
        <v>22</v>
      </c>
      <c r="B23" s="974" t="s">
        <v>16</v>
      </c>
      <c r="C23" s="975"/>
      <c r="G23" s="893" t="e">
        <f>+#REF!-#REF!</f>
        <v>#REF!</v>
      </c>
    </row>
    <row r="24" spans="1:10" ht="15">
      <c r="A24" s="1353" t="s">
        <v>23</v>
      </c>
      <c r="B24" s="1354"/>
      <c r="C24" s="976">
        <v>1187.09845</v>
      </c>
      <c r="G24" s="893"/>
      <c r="H24" s="685" t="e">
        <f>996.701-#REF!</f>
        <v>#REF!</v>
      </c>
      <c r="J24" s="685" t="e">
        <f>996.701-#REF!</f>
        <v>#REF!</v>
      </c>
    </row>
    <row r="25" spans="1:10" ht="6" customHeight="1">
      <c r="A25" s="1359"/>
      <c r="B25" s="1360"/>
      <c r="C25" s="1361"/>
      <c r="G25" s="893" t="e">
        <f>+#REF!-#REF!</f>
        <v>#REF!</v>
      </c>
    </row>
    <row r="26" spans="1:10" ht="21.95" customHeight="1">
      <c r="A26" s="1351" t="s">
        <v>686</v>
      </c>
      <c r="B26" s="1352"/>
      <c r="C26" s="681">
        <v>578.05693199999985</v>
      </c>
      <c r="G26" s="893"/>
      <c r="H26" s="685" t="e">
        <f>#REF!-421.586</f>
        <v>#REF!</v>
      </c>
    </row>
    <row r="27" spans="1:10" ht="16.5" customHeight="1">
      <c r="A27" s="973" t="s">
        <v>24</v>
      </c>
      <c r="B27" s="974" t="s">
        <v>25</v>
      </c>
      <c r="C27" s="975">
        <v>2.6574</v>
      </c>
      <c r="G27" s="893" t="e">
        <f>+#REF!-#REF!</f>
        <v>#REF!</v>
      </c>
    </row>
    <row r="28" spans="1:10" ht="16.5" customHeight="1">
      <c r="A28" s="973" t="s">
        <v>26</v>
      </c>
      <c r="B28" s="974" t="s">
        <v>27</v>
      </c>
      <c r="C28" s="975">
        <v>94.838721000000007</v>
      </c>
      <c r="G28" s="893" t="e">
        <f>+#REF!-#REF!</f>
        <v>#REF!</v>
      </c>
    </row>
    <row r="29" spans="1:10" ht="16.5" customHeight="1">
      <c r="A29" s="973" t="s">
        <v>28</v>
      </c>
      <c r="B29" s="974" t="s">
        <v>29</v>
      </c>
      <c r="C29" s="975">
        <v>86.523978</v>
      </c>
      <c r="G29" s="893" t="e">
        <f>+#REF!-#REF!</f>
        <v>#REF!</v>
      </c>
      <c r="H29" s="844">
        <f>+C29+'Anx V'!C28+'Anx V'!C29</f>
        <v>241.523978</v>
      </c>
    </row>
    <row r="30" spans="1:10" ht="16.5" customHeight="1">
      <c r="A30" s="973"/>
      <c r="B30" s="974" t="s">
        <v>1632</v>
      </c>
      <c r="C30" s="975">
        <v>0.59399999999999997</v>
      </c>
      <c r="G30" s="893"/>
      <c r="H30" s="844"/>
    </row>
    <row r="31" spans="1:10" ht="16.5" customHeight="1">
      <c r="A31" s="973"/>
      <c r="B31" s="974" t="s">
        <v>1633</v>
      </c>
      <c r="C31" s="975">
        <v>5.4</v>
      </c>
      <c r="G31" s="893"/>
      <c r="H31" s="844"/>
    </row>
    <row r="32" spans="1:10" ht="16.5" hidden="1" customHeight="1">
      <c r="A32" s="973" t="s">
        <v>30</v>
      </c>
      <c r="B32" s="974" t="s">
        <v>31</v>
      </c>
      <c r="C32" s="975"/>
      <c r="G32" s="893" t="e">
        <f>+#REF!-#REF!</f>
        <v>#REF!</v>
      </c>
    </row>
    <row r="33" spans="1:12" ht="16.5" hidden="1" customHeight="1">
      <c r="A33" s="973" t="s">
        <v>32</v>
      </c>
      <c r="B33" s="974" t="s">
        <v>33</v>
      </c>
      <c r="C33" s="975"/>
      <c r="G33" s="893" t="e">
        <f>+#REF!-#REF!</f>
        <v>#REF!</v>
      </c>
    </row>
    <row r="34" spans="1:12" ht="16.5" hidden="1" customHeight="1">
      <c r="A34" s="973" t="s">
        <v>34</v>
      </c>
      <c r="B34" s="974" t="s">
        <v>35</v>
      </c>
      <c r="C34" s="975"/>
      <c r="G34" s="893" t="e">
        <f>+#REF!-#REF!</f>
        <v>#REF!</v>
      </c>
    </row>
    <row r="35" spans="1:12" ht="16.5" hidden="1" customHeight="1">
      <c r="A35" s="973" t="s">
        <v>688</v>
      </c>
      <c r="B35" s="974" t="s">
        <v>970</v>
      </c>
      <c r="C35" s="975"/>
      <c r="G35" s="893" t="e">
        <f>+#REF!-#REF!</f>
        <v>#REF!</v>
      </c>
    </row>
    <row r="36" spans="1:12" ht="16.5" customHeight="1">
      <c r="A36" s="973" t="s">
        <v>885</v>
      </c>
      <c r="B36" s="974" t="s">
        <v>968</v>
      </c>
      <c r="C36" s="975">
        <v>75.601214999999996</v>
      </c>
      <c r="G36" s="893" t="e">
        <f>+#REF!-#REF!</f>
        <v>#REF!</v>
      </c>
    </row>
    <row r="37" spans="1:12" ht="16.5" customHeight="1">
      <c r="A37" s="973" t="s">
        <v>886</v>
      </c>
      <c r="B37" s="974" t="s">
        <v>969</v>
      </c>
      <c r="C37" s="975">
        <v>106.64698799999999</v>
      </c>
      <c r="G37" s="893" t="e">
        <f>+#REF!-#REF!</f>
        <v>#REF!</v>
      </c>
    </row>
    <row r="38" spans="1:12" ht="16.5" customHeight="1">
      <c r="A38" s="973" t="s">
        <v>983</v>
      </c>
      <c r="B38" s="974" t="s">
        <v>982</v>
      </c>
      <c r="C38" s="975">
        <v>106.64698799999999</v>
      </c>
      <c r="G38" s="893" t="e">
        <f>+#REF!-#REF!</f>
        <v>#REF!</v>
      </c>
    </row>
    <row r="39" spans="1:12" ht="16.5" customHeight="1">
      <c r="A39" s="973" t="s">
        <v>1022</v>
      </c>
      <c r="B39" s="974" t="s">
        <v>1023</v>
      </c>
      <c r="C39" s="975">
        <v>94.910591999999994</v>
      </c>
      <c r="G39" s="893" t="e">
        <f>+#REF!-#REF!</f>
        <v>#REF!</v>
      </c>
    </row>
    <row r="40" spans="1:12" ht="16.5" customHeight="1">
      <c r="A40" s="973" t="s">
        <v>36</v>
      </c>
      <c r="B40" s="974" t="s">
        <v>37</v>
      </c>
      <c r="C40" s="975">
        <v>4.23705</v>
      </c>
      <c r="G40" s="893" t="e">
        <f>+#REF!-#REF!</f>
        <v>#REF!</v>
      </c>
    </row>
    <row r="41" spans="1:12" ht="16.5" hidden="1" customHeight="1">
      <c r="A41" s="973" t="s">
        <v>38</v>
      </c>
      <c r="B41" s="974" t="s">
        <v>39</v>
      </c>
      <c r="C41" s="975"/>
      <c r="G41" s="893" t="e">
        <f>+#REF!-#REF!</f>
        <v>#REF!</v>
      </c>
    </row>
    <row r="42" spans="1:12" s="424" customFormat="1" ht="30" customHeight="1">
      <c r="A42" s="1355" t="s">
        <v>74</v>
      </c>
      <c r="B42" s="1356"/>
      <c r="C42" s="681">
        <v>267.68531400000001</v>
      </c>
      <c r="G42" s="893"/>
      <c r="H42" s="1162" t="e">
        <f>#REF!-228545098/1000000</f>
        <v>#REF!</v>
      </c>
      <c r="J42" s="1063" t="e">
        <f>#REF!-228.555</f>
        <v>#REF!</v>
      </c>
      <c r="K42" s="1063"/>
    </row>
    <row r="43" spans="1:12" ht="20.100000000000001" hidden="1" customHeight="1">
      <c r="A43" s="973" t="s">
        <v>40</v>
      </c>
      <c r="B43" s="974" t="s">
        <v>41</v>
      </c>
      <c r="C43" s="975"/>
      <c r="G43" s="893" t="e">
        <f>+#REF!-#REF!</f>
        <v>#REF!</v>
      </c>
    </row>
    <row r="44" spans="1:12" ht="28.5">
      <c r="A44" s="973" t="s">
        <v>42</v>
      </c>
      <c r="B44" s="974" t="s">
        <v>43</v>
      </c>
      <c r="C44" s="975">
        <v>44.744999999999997</v>
      </c>
      <c r="G44" s="893" t="e">
        <f>+#REF!-#REF!</f>
        <v>#REF!</v>
      </c>
      <c r="H44" s="893" t="e">
        <f>+#REF!+#REF!+#REF!</f>
        <v>#REF!</v>
      </c>
    </row>
    <row r="45" spans="1:12" ht="20.100000000000001" customHeight="1">
      <c r="A45" s="973" t="s">
        <v>44</v>
      </c>
      <c r="B45" s="974" t="s">
        <v>45</v>
      </c>
      <c r="C45" s="975">
        <v>187.42166399999999</v>
      </c>
      <c r="G45" s="893" t="e">
        <f>+#REF!-#REF!</f>
        <v>#REF!</v>
      </c>
      <c r="H45" s="844" t="e">
        <f>+#REF!</f>
        <v>#REF!</v>
      </c>
    </row>
    <row r="46" spans="1:12" ht="20.100000000000001" hidden="1" customHeight="1">
      <c r="A46" s="973" t="s">
        <v>46</v>
      </c>
      <c r="B46" s="974" t="s">
        <v>47</v>
      </c>
      <c r="C46" s="975"/>
      <c r="G46" s="893" t="e">
        <f>+#REF!-#REF!</f>
        <v>#REF!</v>
      </c>
    </row>
    <row r="47" spans="1:12" ht="20.100000000000001" customHeight="1">
      <c r="A47" s="973" t="s">
        <v>48</v>
      </c>
      <c r="B47" s="974" t="s">
        <v>49</v>
      </c>
      <c r="C47" s="975">
        <v>2.5566</v>
      </c>
      <c r="G47" s="893" t="e">
        <f>+#REF!-#REF!</f>
        <v>#REF!</v>
      </c>
      <c r="H47" s="893" t="e">
        <f>+H44-H45</f>
        <v>#REF!</v>
      </c>
    </row>
    <row r="48" spans="1:12" ht="20.100000000000001" customHeight="1">
      <c r="A48" s="973" t="s">
        <v>50</v>
      </c>
      <c r="B48" s="974" t="s">
        <v>51</v>
      </c>
      <c r="C48" s="975">
        <v>0.72675000000000001</v>
      </c>
      <c r="G48" s="893" t="e">
        <f>+#REF!-#REF!</f>
        <v>#REF!</v>
      </c>
      <c r="H48" s="893">
        <f>+'Anx-I'!F53</f>
        <v>0</v>
      </c>
      <c r="K48" s="685" t="e">
        <f>+#REF!+#REF!+#REF!</f>
        <v>#REF!</v>
      </c>
      <c r="L48" s="685" t="e">
        <f>+#REF!+#REF!+#REF!</f>
        <v>#REF!</v>
      </c>
    </row>
    <row r="49" spans="1:11" ht="20.100000000000001" hidden="1" customHeight="1">
      <c r="A49" s="973" t="s">
        <v>52</v>
      </c>
      <c r="B49" s="974" t="s">
        <v>53</v>
      </c>
      <c r="C49" s="975"/>
      <c r="G49" s="893" t="e">
        <f>+#REF!-#REF!</f>
        <v>#REF!</v>
      </c>
    </row>
    <row r="50" spans="1:11" ht="20.100000000000001" customHeight="1">
      <c r="A50" s="973" t="s">
        <v>54</v>
      </c>
      <c r="B50" s="974" t="s">
        <v>55</v>
      </c>
      <c r="C50" s="975">
        <v>28.974</v>
      </c>
      <c r="G50" s="893" t="e">
        <f>+#REF!-#REF!</f>
        <v>#REF!</v>
      </c>
      <c r="H50" s="893" t="e">
        <f>+H47-H48</f>
        <v>#REF!</v>
      </c>
      <c r="K50" s="685" t="e">
        <f>+#REF!+#REF!+#REF!</f>
        <v>#REF!</v>
      </c>
    </row>
    <row r="51" spans="1:11" ht="20.100000000000001" hidden="1" customHeight="1">
      <c r="A51" s="973" t="s">
        <v>56</v>
      </c>
      <c r="B51" s="974" t="s">
        <v>57</v>
      </c>
      <c r="C51" s="975"/>
      <c r="G51" s="893" t="e">
        <f>+#REF!-#REF!</f>
        <v>#REF!</v>
      </c>
      <c r="K51" s="685" t="e">
        <f>+#REF!+#REF!+#REF!</f>
        <v>#REF!</v>
      </c>
    </row>
    <row r="52" spans="1:11" ht="20.100000000000001" hidden="1" customHeight="1">
      <c r="A52" s="973" t="s">
        <v>58</v>
      </c>
      <c r="B52" s="974" t="s">
        <v>59</v>
      </c>
      <c r="C52" s="975"/>
      <c r="G52" s="893" t="e">
        <f>+#REF!-#REF!</f>
        <v>#REF!</v>
      </c>
      <c r="K52" s="685" t="e">
        <f>+#REF!</f>
        <v>#REF!</v>
      </c>
    </row>
    <row r="53" spans="1:11" ht="20.100000000000001" hidden="1" customHeight="1">
      <c r="A53" s="973" t="s">
        <v>60</v>
      </c>
      <c r="B53" s="974" t="s">
        <v>61</v>
      </c>
      <c r="C53" s="975"/>
      <c r="G53" s="893" t="e">
        <f>+#REF!-#REF!</f>
        <v>#REF!</v>
      </c>
      <c r="K53" s="685" t="e">
        <f>+K51-K52</f>
        <v>#REF!</v>
      </c>
    </row>
    <row r="54" spans="1:11" ht="20.100000000000001" hidden="1" customHeight="1">
      <c r="A54" s="973" t="s">
        <v>62</v>
      </c>
      <c r="B54" s="974" t="s">
        <v>63</v>
      </c>
      <c r="C54" s="975"/>
      <c r="G54" s="893" t="e">
        <f>+#REF!-#REF!</f>
        <v>#REF!</v>
      </c>
    </row>
    <row r="55" spans="1:11" ht="28.5">
      <c r="A55" s="973" t="s">
        <v>64</v>
      </c>
      <c r="B55" s="974" t="s">
        <v>720</v>
      </c>
      <c r="C55" s="975">
        <v>3.2612999999999999</v>
      </c>
      <c r="G55" s="893" t="e">
        <f>+#REF!-#REF!</f>
        <v>#REF!</v>
      </c>
    </row>
    <row r="56" spans="1:11" ht="20.100000000000001" hidden="1" customHeight="1">
      <c r="A56" s="973" t="s">
        <v>65</v>
      </c>
      <c r="B56" s="974" t="s">
        <v>66</v>
      </c>
      <c r="C56" s="975"/>
      <c r="G56" s="893" t="e">
        <f>+#REF!-#REF!</f>
        <v>#REF!</v>
      </c>
    </row>
    <row r="57" spans="1:11" ht="20.100000000000001" hidden="1" customHeight="1">
      <c r="A57" s="973" t="s">
        <v>67</v>
      </c>
      <c r="B57" s="974" t="s">
        <v>68</v>
      </c>
      <c r="C57" s="975"/>
      <c r="G57" s="893" t="e">
        <f>+#REF!-#REF!</f>
        <v>#REF!</v>
      </c>
    </row>
    <row r="58" spans="1:11" ht="20.100000000000001" hidden="1" customHeight="1">
      <c r="A58" s="973" t="s">
        <v>69</v>
      </c>
      <c r="B58" s="974" t="s">
        <v>70</v>
      </c>
      <c r="C58" s="975"/>
      <c r="G58" s="893" t="e">
        <f>+#REF!-#REF!</f>
        <v>#REF!</v>
      </c>
    </row>
    <row r="59" spans="1:11" ht="20.100000000000001" hidden="1" customHeight="1">
      <c r="A59" s="973" t="s">
        <v>71</v>
      </c>
      <c r="B59" s="974" t="s">
        <v>72</v>
      </c>
      <c r="C59" s="975"/>
      <c r="G59" s="893" t="e">
        <f>+#REF!-#REF!</f>
        <v>#REF!</v>
      </c>
    </row>
    <row r="60" spans="1:11" ht="20.100000000000001" customHeight="1">
      <c r="A60" s="973" t="s">
        <v>73</v>
      </c>
      <c r="B60" s="974" t="s">
        <v>1652</v>
      </c>
      <c r="C60" s="975"/>
      <c r="G60" s="893" t="e">
        <f>+#REF!-#REF!</f>
        <v>#REF!</v>
      </c>
    </row>
    <row r="61" spans="1:11" ht="24.95" customHeight="1">
      <c r="A61" s="1357" t="s">
        <v>75</v>
      </c>
      <c r="B61" s="1358"/>
      <c r="C61" s="977">
        <v>845.7422459999998</v>
      </c>
      <c r="G61" s="893">
        <f>+C61+C24</f>
        <v>2032.8406959999998</v>
      </c>
      <c r="H61" s="893" t="e">
        <f>+#REF!</f>
        <v>#REF!</v>
      </c>
      <c r="I61" s="893" t="e">
        <f>+H61-G61</f>
        <v>#REF!</v>
      </c>
      <c r="K61" s="685">
        <f>+C72-C63</f>
        <v>2032.8406959999998</v>
      </c>
    </row>
    <row r="62" spans="1:11" ht="6" customHeight="1">
      <c r="A62" s="1359"/>
      <c r="B62" s="1360"/>
      <c r="C62" s="1361"/>
      <c r="G62" s="893" t="e">
        <f>+#REF!-#REF!</f>
        <v>#REF!</v>
      </c>
    </row>
    <row r="63" spans="1:11" s="425" customFormat="1" ht="21.95" customHeight="1">
      <c r="A63" s="1357" t="s">
        <v>122</v>
      </c>
      <c r="B63" s="1358"/>
      <c r="C63" s="977">
        <v>93.655100000000004</v>
      </c>
      <c r="G63" s="894" t="e">
        <f>SUM(G9:G62)</f>
        <v>#REF!</v>
      </c>
      <c r="K63" s="1064"/>
    </row>
    <row r="64" spans="1:11" ht="21.95" customHeight="1">
      <c r="A64" s="973" t="s">
        <v>76</v>
      </c>
      <c r="B64" s="974" t="s">
        <v>77</v>
      </c>
      <c r="C64" s="975">
        <v>4.4000000000000004</v>
      </c>
      <c r="K64" s="685" t="e">
        <f>+#REF!</f>
        <v>#REF!</v>
      </c>
    </row>
    <row r="65" spans="1:14" ht="21.95" hidden="1" customHeight="1">
      <c r="A65" s="973" t="s">
        <v>78</v>
      </c>
      <c r="B65" s="974" t="s">
        <v>79</v>
      </c>
      <c r="C65" s="975"/>
      <c r="K65" s="685" t="e">
        <f>+K61-K64</f>
        <v>#REF!</v>
      </c>
    </row>
    <row r="66" spans="1:14" ht="21.95" customHeight="1">
      <c r="A66" s="973" t="s">
        <v>80</v>
      </c>
      <c r="B66" s="974" t="s">
        <v>81</v>
      </c>
      <c r="C66" s="975">
        <v>5.5</v>
      </c>
    </row>
    <row r="67" spans="1:14" ht="21.95" customHeight="1">
      <c r="A67" s="973" t="s">
        <v>82</v>
      </c>
      <c r="B67" s="974" t="s">
        <v>83</v>
      </c>
      <c r="C67" s="975">
        <v>15.972000000000001</v>
      </c>
      <c r="G67" s="844" t="e">
        <f>+#REF!</f>
        <v>#REF!</v>
      </c>
    </row>
    <row r="68" spans="1:14" ht="21.95" customHeight="1">
      <c r="A68" s="973" t="s">
        <v>84</v>
      </c>
      <c r="B68" s="974" t="s">
        <v>85</v>
      </c>
      <c r="C68" s="1029">
        <v>59.606800000000007</v>
      </c>
      <c r="G68" s="164" t="e">
        <f>+'Anx V'!#REF!+'Anx V'!#REF!</f>
        <v>#REF!</v>
      </c>
      <c r="I68" s="164" t="e">
        <f>#REF!*2</f>
        <v>#REF!</v>
      </c>
      <c r="K68" s="685">
        <f>2500000*6/1000000</f>
        <v>15</v>
      </c>
    </row>
    <row r="69" spans="1:14" ht="30" customHeight="1">
      <c r="A69" s="973" t="s">
        <v>86</v>
      </c>
      <c r="B69" s="974" t="s">
        <v>684</v>
      </c>
      <c r="C69" s="975">
        <v>0.11000000000000001</v>
      </c>
      <c r="G69" s="845" t="e">
        <f>+G68+G67</f>
        <v>#REF!</v>
      </c>
      <c r="K69" s="685" t="e">
        <f>+#REF!</f>
        <v>#REF!</v>
      </c>
    </row>
    <row r="70" spans="1:14" ht="25.5">
      <c r="A70" s="1148" t="s">
        <v>1294</v>
      </c>
      <c r="B70" s="1148" t="s">
        <v>1700</v>
      </c>
      <c r="C70" s="975">
        <v>7.26</v>
      </c>
      <c r="G70" s="845" t="e">
        <f>2244081222/1000000-G69+#REF!</f>
        <v>#REF!</v>
      </c>
      <c r="K70" s="685" t="e">
        <f>+K69+K68</f>
        <v>#REF!</v>
      </c>
      <c r="N70" s="164">
        <v>0.26400000000000001</v>
      </c>
    </row>
    <row r="71" spans="1:14" ht="21.95" customHeight="1">
      <c r="A71" s="1148" t="s">
        <v>87</v>
      </c>
      <c r="B71" s="1148" t="s">
        <v>88</v>
      </c>
      <c r="C71" s="975">
        <v>0.80630000000000002</v>
      </c>
      <c r="G71" s="685">
        <f>+C72</f>
        <v>2126.4957959999997</v>
      </c>
      <c r="J71" s="893" t="e">
        <f>+#REF!-#REF!+#REF!</f>
        <v>#REF!</v>
      </c>
      <c r="K71" s="685">
        <f>+C72-C63</f>
        <v>2032.8406959999998</v>
      </c>
      <c r="N71" s="164">
        <v>2.698</v>
      </c>
    </row>
    <row r="72" spans="1:14" ht="21.95" customHeight="1">
      <c r="A72" s="1347" t="s">
        <v>92</v>
      </c>
      <c r="B72" s="1348"/>
      <c r="C72" s="978">
        <v>2126.4957959999997</v>
      </c>
      <c r="G72" s="685">
        <f>+'Anx V'!C28+'Anx V'!C29</f>
        <v>155</v>
      </c>
      <c r="J72" s="893" t="e">
        <f>+'Anx V'!#REF!+'Anx V'!#REF!-#REF!</f>
        <v>#REF!</v>
      </c>
      <c r="K72" s="685">
        <f>+'Anx V'!C28+'Anx V'!C29</f>
        <v>155</v>
      </c>
    </row>
    <row r="73" spans="1:14">
      <c r="G73" s="685">
        <f>+G72+G71</f>
        <v>2281.4957959999997</v>
      </c>
      <c r="J73" s="685" t="e">
        <f>+J72+J71</f>
        <v>#REF!</v>
      </c>
      <c r="K73" s="685">
        <f>+K72+K71</f>
        <v>2187.8406959999998</v>
      </c>
    </row>
    <row r="74" spans="1:14">
      <c r="G74" s="685">
        <f>2360905614/1000000-G73+C63</f>
        <v>173.06491800000009</v>
      </c>
      <c r="J74" s="164">
        <f>2079114042/1000000</f>
        <v>2079.1140420000002</v>
      </c>
      <c r="K74" s="685">
        <f>2069336946/1000000</f>
        <v>2069.3369459999999</v>
      </c>
    </row>
  </sheetData>
  <mergeCells count="15">
    <mergeCell ref="A4:C4"/>
    <mergeCell ref="A25:C25"/>
    <mergeCell ref="A2:C2"/>
    <mergeCell ref="A63:B63"/>
    <mergeCell ref="A6:A7"/>
    <mergeCell ref="B6:B7"/>
    <mergeCell ref="C6:C7"/>
    <mergeCell ref="A72:B72"/>
    <mergeCell ref="A8:B8"/>
    <mergeCell ref="A17:B17"/>
    <mergeCell ref="A24:B24"/>
    <mergeCell ref="A26:B26"/>
    <mergeCell ref="A42:B42"/>
    <mergeCell ref="A61:B61"/>
    <mergeCell ref="A62:C62"/>
  </mergeCells>
  <printOptions horizontalCentered="1"/>
  <pageMargins left="0.6" right="0.5" top="0.25" bottom="0.25" header="0.25" footer="0.15"/>
  <pageSetup paperSize="9" scale="9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FF648"/>
  </sheetPr>
  <dimension ref="A1:S179"/>
  <sheetViews>
    <sheetView view="pageBreakPreview" zoomScaleSheetLayoutView="100" workbookViewId="0">
      <pane xSplit="2" ySplit="8" topLeftCell="C89" activePane="bottomRight" state="frozen"/>
      <selection pane="topRight" activeCell="C1" sqref="C1"/>
      <selection pane="bottomLeft" activeCell="A9" sqref="A9"/>
      <selection pane="bottomRight" activeCell="C1" sqref="C1:G1048576"/>
    </sheetView>
  </sheetViews>
  <sheetFormatPr defaultRowHeight="14.25"/>
  <cols>
    <col min="1" max="1" width="13" style="548" customWidth="1"/>
    <col min="2" max="2" width="48.140625" style="548" customWidth="1"/>
    <col min="3" max="3" width="22.5703125" style="693" customWidth="1"/>
    <col min="4" max="4" width="7.5703125" style="548" bestFit="1" customWidth="1"/>
    <col min="5" max="5" width="6.42578125" style="548" customWidth="1"/>
    <col min="6" max="6" width="15.42578125" style="548" customWidth="1"/>
    <col min="7" max="7" width="13.85546875" style="693" customWidth="1"/>
    <col min="8" max="8" width="13.7109375" style="693" bestFit="1" customWidth="1"/>
    <col min="9" max="9" width="6.85546875" style="548" customWidth="1"/>
    <col min="10" max="16384" width="9.140625" style="548"/>
  </cols>
  <sheetData>
    <row r="1" spans="1:19" s="544" customFormat="1" ht="15.75" customHeight="1">
      <c r="A1" s="542"/>
      <c r="B1" s="542"/>
      <c r="C1" s="1157" t="s">
        <v>1719</v>
      </c>
      <c r="D1" s="543"/>
      <c r="E1" s="543"/>
      <c r="F1" s="543"/>
      <c r="G1" s="731"/>
      <c r="H1" s="731"/>
      <c r="I1" s="543"/>
      <c r="J1" s="543"/>
      <c r="K1" s="543"/>
      <c r="L1" s="543"/>
      <c r="M1" s="543"/>
      <c r="N1" s="543"/>
      <c r="O1" s="543"/>
      <c r="P1" s="543"/>
    </row>
    <row r="2" spans="1:19" s="544" customFormat="1" ht="38.25" customHeight="1">
      <c r="A2" s="1373" t="s">
        <v>871</v>
      </c>
      <c r="B2" s="1373"/>
      <c r="C2" s="1373"/>
      <c r="D2" s="543"/>
      <c r="E2" s="543"/>
      <c r="F2" s="543"/>
      <c r="G2" s="731"/>
      <c r="H2" s="731"/>
      <c r="I2" s="543"/>
      <c r="J2" s="543"/>
      <c r="K2" s="543"/>
      <c r="L2" s="543"/>
      <c r="M2" s="543"/>
      <c r="N2" s="543"/>
      <c r="O2" s="543"/>
      <c r="P2" s="543"/>
    </row>
    <row r="3" spans="1:19" s="544" customFormat="1" ht="20.25" customHeight="1">
      <c r="A3" s="545"/>
      <c r="B3" s="545"/>
      <c r="C3" s="686"/>
      <c r="D3" s="543"/>
      <c r="E3" s="543"/>
      <c r="F3" s="543"/>
      <c r="G3" s="731"/>
      <c r="H3" s="731"/>
      <c r="I3" s="543"/>
      <c r="J3" s="543"/>
      <c r="K3" s="543"/>
      <c r="L3" s="543"/>
      <c r="M3" s="543"/>
      <c r="N3" s="543"/>
      <c r="O3" s="543"/>
      <c r="P3" s="543"/>
    </row>
    <row r="4" spans="1:19" s="547" customFormat="1" ht="16.5" customHeight="1">
      <c r="A4" s="1362" t="s">
        <v>1512</v>
      </c>
      <c r="B4" s="1362"/>
      <c r="C4" s="1362"/>
      <c r="D4" s="546"/>
      <c r="E4" s="546"/>
      <c r="F4" s="546"/>
      <c r="G4" s="732"/>
      <c r="H4" s="732"/>
      <c r="I4" s="546"/>
      <c r="J4" s="546"/>
      <c r="K4" s="546"/>
      <c r="L4" s="546"/>
      <c r="M4" s="546"/>
      <c r="N4" s="546"/>
      <c r="O4" s="546"/>
      <c r="P4" s="546"/>
    </row>
    <row r="5" spans="1:19" s="165" customFormat="1" ht="18" customHeight="1">
      <c r="B5" s="175"/>
      <c r="C5" s="677" t="s">
        <v>873</v>
      </c>
      <c r="D5" s="150"/>
      <c r="E5" s="150"/>
      <c r="F5" s="150"/>
      <c r="G5" s="1159"/>
      <c r="H5" s="693"/>
    </row>
    <row r="6" spans="1:19" s="168" customFormat="1" ht="21" customHeight="1">
      <c r="A6" s="1364" t="s">
        <v>160</v>
      </c>
      <c r="B6" s="1364" t="s">
        <v>690</v>
      </c>
      <c r="C6" s="1365" t="s">
        <v>1199</v>
      </c>
      <c r="D6" s="2"/>
      <c r="E6" s="2"/>
      <c r="F6" s="2"/>
      <c r="G6" s="1160"/>
      <c r="H6" s="733"/>
      <c r="I6" s="167"/>
      <c r="J6" s="167"/>
      <c r="Q6" s="169"/>
      <c r="R6" s="168" t="s">
        <v>974</v>
      </c>
    </row>
    <row r="7" spans="1:19" s="164" customFormat="1">
      <c r="A7" s="1364"/>
      <c r="B7" s="1364"/>
      <c r="C7" s="1374"/>
      <c r="G7" s="693"/>
      <c r="H7" s="693"/>
      <c r="I7" s="165"/>
      <c r="J7" s="165"/>
      <c r="Q7" s="170"/>
      <c r="R7" s="171"/>
      <c r="S7" s="166"/>
    </row>
    <row r="8" spans="1:19" ht="7.5" customHeight="1">
      <c r="A8" s="1367"/>
      <c r="B8" s="1368"/>
      <c r="C8" s="1369"/>
    </row>
    <row r="9" spans="1:19" s="549" customFormat="1" ht="21.95" customHeight="1">
      <c r="A9" s="436" t="s">
        <v>679</v>
      </c>
      <c r="B9" s="437" t="s">
        <v>691</v>
      </c>
      <c r="C9" s="687">
        <v>5.3591999999999995</v>
      </c>
      <c r="G9" s="734"/>
      <c r="H9" s="734"/>
    </row>
    <row r="10" spans="1:19" ht="16.5" customHeight="1">
      <c r="A10" s="550" t="s">
        <v>195</v>
      </c>
      <c r="B10" s="551" t="s">
        <v>681</v>
      </c>
      <c r="C10" s="680">
        <v>3.5200000000000002E-2</v>
      </c>
      <c r="G10" s="693" t="e">
        <f>+#REF!-#REF!</f>
        <v>#REF!</v>
      </c>
      <c r="H10" s="734"/>
    </row>
    <row r="11" spans="1:19" ht="16.5" customHeight="1">
      <c r="A11" s="550" t="s">
        <v>196</v>
      </c>
      <c r="B11" s="551" t="s">
        <v>680</v>
      </c>
      <c r="C11" s="680">
        <v>5.3239999999999998</v>
      </c>
      <c r="G11" s="693" t="e">
        <f>+#REF!-#REF!</f>
        <v>#REF!</v>
      </c>
      <c r="H11" s="734"/>
    </row>
    <row r="12" spans="1:19" ht="21.95" customHeight="1">
      <c r="A12" s="914" t="s">
        <v>197</v>
      </c>
      <c r="B12" s="915" t="s">
        <v>692</v>
      </c>
      <c r="C12" s="689">
        <v>92.305300000000003</v>
      </c>
      <c r="G12" s="693" t="e">
        <f>+#REF!-#REF!</f>
        <v>#REF!</v>
      </c>
      <c r="H12" s="734"/>
    </row>
    <row r="13" spans="1:19" ht="16.5" customHeight="1">
      <c r="A13" s="550" t="s">
        <v>198</v>
      </c>
      <c r="B13" s="551" t="s">
        <v>678</v>
      </c>
      <c r="C13" s="680">
        <v>1.9965000000000002</v>
      </c>
      <c r="F13" s="1168">
        <f>C13*1000000</f>
        <v>1996500.0000000002</v>
      </c>
      <c r="G13" s="693" t="e">
        <f>+#REF!-#REF!</f>
        <v>#REF!</v>
      </c>
      <c r="H13" s="734"/>
    </row>
    <row r="14" spans="1:19" ht="16.5" customHeight="1">
      <c r="A14" s="550" t="s">
        <v>199</v>
      </c>
      <c r="B14" s="551" t="s">
        <v>677</v>
      </c>
      <c r="C14" s="680">
        <v>6.8</v>
      </c>
      <c r="F14" s="1168">
        <f t="shared" ref="F14:F20" si="0">C14*1000000</f>
        <v>6800000</v>
      </c>
      <c r="G14" s="693" t="e">
        <f>+#REF!-#REF!</f>
        <v>#REF!</v>
      </c>
      <c r="H14" s="734"/>
    </row>
    <row r="15" spans="1:19" ht="16.5" customHeight="1">
      <c r="A15" s="550" t="s">
        <v>676</v>
      </c>
      <c r="B15" s="551" t="s">
        <v>675</v>
      </c>
      <c r="C15" s="680">
        <v>3.7400000000000003E-2</v>
      </c>
      <c r="F15" s="1168">
        <f t="shared" si="0"/>
        <v>37400</v>
      </c>
      <c r="G15" s="693" t="e">
        <f>+#REF!-#REF!</f>
        <v>#REF!</v>
      </c>
      <c r="H15" s="734"/>
    </row>
    <row r="16" spans="1:19" ht="16.5" customHeight="1">
      <c r="A16" s="550" t="s">
        <v>674</v>
      </c>
      <c r="B16" s="551" t="s">
        <v>673</v>
      </c>
      <c r="C16" s="680">
        <v>33</v>
      </c>
      <c r="F16" s="1168">
        <f t="shared" si="0"/>
        <v>33000000</v>
      </c>
      <c r="G16" s="693" t="e">
        <f>+#REF!-#REF!</f>
        <v>#REF!</v>
      </c>
      <c r="H16" s="734"/>
    </row>
    <row r="17" spans="1:8" ht="16.5" customHeight="1">
      <c r="A17" s="550" t="s">
        <v>672</v>
      </c>
      <c r="B17" s="551" t="s">
        <v>1274</v>
      </c>
      <c r="C17" s="680">
        <v>38.5</v>
      </c>
      <c r="D17" s="851">
        <f>+C17+C16</f>
        <v>71.5</v>
      </c>
      <c r="F17" s="1168">
        <f t="shared" si="0"/>
        <v>38500000</v>
      </c>
      <c r="G17" s="693" t="e">
        <f>+#REF!-#REF!</f>
        <v>#REF!</v>
      </c>
      <c r="H17" s="734"/>
    </row>
    <row r="18" spans="1:8" ht="16.5" customHeight="1">
      <c r="A18" s="550" t="s">
        <v>1273</v>
      </c>
      <c r="B18" s="898" t="s">
        <v>1501</v>
      </c>
      <c r="C18" s="680">
        <v>10.89</v>
      </c>
      <c r="D18" s="851"/>
      <c r="F18" s="1168">
        <f t="shared" si="0"/>
        <v>10890000</v>
      </c>
      <c r="G18" s="693" t="e">
        <f>+#REF!-#REF!</f>
        <v>#REF!</v>
      </c>
      <c r="H18" s="734"/>
    </row>
    <row r="19" spans="1:8" ht="16.5" customHeight="1">
      <c r="A19" s="550" t="s">
        <v>1499</v>
      </c>
      <c r="B19" s="550" t="s">
        <v>1502</v>
      </c>
      <c r="C19" s="680">
        <v>1</v>
      </c>
      <c r="D19" s="851"/>
      <c r="F19" s="1168">
        <f t="shared" si="0"/>
        <v>1000000</v>
      </c>
      <c r="G19" s="693" t="e">
        <f>+#REF!-#REF!</f>
        <v>#REF!</v>
      </c>
      <c r="H19" s="734"/>
    </row>
    <row r="20" spans="1:8" ht="16.5" customHeight="1">
      <c r="A20" s="550" t="s">
        <v>1500</v>
      </c>
      <c r="B20" s="551" t="s">
        <v>671</v>
      </c>
      <c r="C20" s="680">
        <v>8.14E-2</v>
      </c>
      <c r="F20" s="1168">
        <f t="shared" si="0"/>
        <v>81400</v>
      </c>
      <c r="G20" s="693" t="e">
        <f>+#REF!-#REF!</f>
        <v>#REF!</v>
      </c>
      <c r="H20" s="734"/>
    </row>
    <row r="21" spans="1:8" ht="16.5" hidden="1" customHeight="1">
      <c r="A21" s="550" t="s">
        <v>200</v>
      </c>
      <c r="B21" s="551" t="s">
        <v>670</v>
      </c>
      <c r="C21" s="680"/>
      <c r="G21" s="693" t="e">
        <f>+#REF!-#REF!</f>
        <v>#REF!</v>
      </c>
      <c r="H21" s="734"/>
    </row>
    <row r="22" spans="1:8" ht="21.95" customHeight="1">
      <c r="A22" s="914" t="s">
        <v>201</v>
      </c>
      <c r="B22" s="915" t="s">
        <v>693</v>
      </c>
      <c r="C22" s="689">
        <v>227.00000000000003</v>
      </c>
      <c r="G22" s="693" t="e">
        <f>+#REF!-#REF!</f>
        <v>#REF!</v>
      </c>
      <c r="H22" s="734"/>
    </row>
    <row r="23" spans="1:8" ht="16.5" customHeight="1">
      <c r="A23" s="550" t="s">
        <v>202</v>
      </c>
      <c r="B23" s="551" t="s">
        <v>203</v>
      </c>
      <c r="C23" s="680">
        <v>7</v>
      </c>
      <c r="G23" s="693" t="e">
        <f>+#REF!-#REF!</f>
        <v>#REF!</v>
      </c>
      <c r="H23" s="734"/>
    </row>
    <row r="24" spans="1:8" ht="16.5" hidden="1" customHeight="1">
      <c r="A24" s="550" t="s">
        <v>204</v>
      </c>
      <c r="B24" s="551" t="s">
        <v>205</v>
      </c>
      <c r="C24" s="680"/>
      <c r="G24" s="693" t="e">
        <f>+#REF!-#REF!</f>
        <v>#REF!</v>
      </c>
      <c r="H24" s="734"/>
    </row>
    <row r="25" spans="1:8" ht="16.5" customHeight="1">
      <c r="A25" s="550" t="s">
        <v>206</v>
      </c>
      <c r="B25" s="551" t="s">
        <v>207</v>
      </c>
      <c r="C25" s="680">
        <v>220.00000000000003</v>
      </c>
      <c r="G25" s="693" t="e">
        <f>+#REF!-#REF!</f>
        <v>#REF!</v>
      </c>
      <c r="H25" s="734"/>
    </row>
    <row r="26" spans="1:8" ht="16.5" hidden="1" customHeight="1">
      <c r="A26" s="550" t="s">
        <v>208</v>
      </c>
      <c r="B26" s="551" t="s">
        <v>669</v>
      </c>
      <c r="C26" s="680"/>
      <c r="G26" s="693" t="e">
        <f>+#REF!-#REF!</f>
        <v>#REF!</v>
      </c>
      <c r="H26" s="734"/>
    </row>
    <row r="27" spans="1:8" s="552" customFormat="1" ht="21.95" customHeight="1">
      <c r="A27" s="914" t="s">
        <v>209</v>
      </c>
      <c r="B27" s="915" t="s">
        <v>694</v>
      </c>
      <c r="C27" s="689">
        <v>162.018</v>
      </c>
      <c r="G27" s="693" t="e">
        <f>+#REF!-#REF!</f>
        <v>#REF!</v>
      </c>
      <c r="H27" s="734"/>
    </row>
    <row r="28" spans="1:8" ht="16.5" customHeight="1">
      <c r="A28" s="550" t="s">
        <v>1254</v>
      </c>
      <c r="B28" s="551" t="s">
        <v>1252</v>
      </c>
      <c r="C28" s="680">
        <v>35</v>
      </c>
      <c r="G28" s="693" t="e">
        <f>+#REF!-#REF!</f>
        <v>#REF!</v>
      </c>
      <c r="H28" s="734"/>
    </row>
    <row r="29" spans="1:8" ht="16.5" customHeight="1">
      <c r="A29" s="550" t="s">
        <v>210</v>
      </c>
      <c r="B29" s="551" t="s">
        <v>1253</v>
      </c>
      <c r="C29" s="680">
        <v>120</v>
      </c>
      <c r="G29" s="693" t="e">
        <f>+#REF!-#REF!</f>
        <v>#REF!</v>
      </c>
      <c r="H29" s="734"/>
    </row>
    <row r="30" spans="1:8" hidden="1">
      <c r="A30" s="550" t="s">
        <v>212</v>
      </c>
      <c r="B30" s="551" t="s">
        <v>668</v>
      </c>
      <c r="C30" s="680"/>
      <c r="G30" s="693" t="e">
        <f>+#REF!-#REF!</f>
        <v>#REF!</v>
      </c>
      <c r="H30" s="734"/>
    </row>
    <row r="31" spans="1:8" ht="16.5" hidden="1" customHeight="1">
      <c r="A31" s="550" t="s">
        <v>667</v>
      </c>
      <c r="B31" s="551" t="s">
        <v>666</v>
      </c>
      <c r="C31" s="680"/>
      <c r="G31" s="693" t="e">
        <f>+#REF!-#REF!</f>
        <v>#REF!</v>
      </c>
      <c r="H31" s="734"/>
    </row>
    <row r="32" spans="1:8" ht="16.5" hidden="1" customHeight="1">
      <c r="A32" s="550" t="s">
        <v>213</v>
      </c>
      <c r="B32" s="551" t="s">
        <v>665</v>
      </c>
      <c r="C32" s="680"/>
      <c r="G32" s="693" t="e">
        <f>+#REF!-#REF!</f>
        <v>#REF!</v>
      </c>
      <c r="H32" s="734"/>
    </row>
    <row r="33" spans="1:8">
      <c r="A33" s="550" t="s">
        <v>664</v>
      </c>
      <c r="B33" s="551" t="s">
        <v>1307</v>
      </c>
      <c r="C33" s="680">
        <v>1.6940000000000002</v>
      </c>
      <c r="G33" s="693" t="e">
        <f>+#REF!-#REF!</f>
        <v>#REF!</v>
      </c>
      <c r="H33" s="734"/>
    </row>
    <row r="34" spans="1:8" ht="25.5">
      <c r="A34" s="550" t="s">
        <v>664</v>
      </c>
      <c r="B34" s="551" t="s">
        <v>1308</v>
      </c>
      <c r="C34" s="680">
        <v>5.3239999999999998</v>
      </c>
      <c r="G34" s="693" t="e">
        <f>+#REF!-#REF!</f>
        <v>#REF!</v>
      </c>
      <c r="H34" s="734"/>
    </row>
    <row r="35" spans="1:8" s="552" customFormat="1" ht="21.95" hidden="1" customHeight="1">
      <c r="A35" s="914" t="s">
        <v>652</v>
      </c>
      <c r="B35" s="915" t="s">
        <v>695</v>
      </c>
      <c r="C35" s="689">
        <v>0</v>
      </c>
      <c r="G35" s="693" t="e">
        <f>+#REF!-#REF!</f>
        <v>#REF!</v>
      </c>
      <c r="H35" s="734"/>
    </row>
    <row r="36" spans="1:8" ht="16.5" hidden="1" customHeight="1">
      <c r="A36" s="550" t="s">
        <v>662</v>
      </c>
      <c r="B36" s="551" t="s">
        <v>661</v>
      </c>
      <c r="C36" s="680"/>
      <c r="G36" s="693" t="e">
        <f>+#REF!-#REF!</f>
        <v>#REF!</v>
      </c>
      <c r="H36" s="734"/>
    </row>
    <row r="37" spans="1:8" ht="16.5" hidden="1" customHeight="1">
      <c r="A37" s="550" t="s">
        <v>660</v>
      </c>
      <c r="B37" s="551" t="s">
        <v>659</v>
      </c>
      <c r="C37" s="680"/>
      <c r="G37" s="693" t="e">
        <f>+#REF!-#REF!</f>
        <v>#REF!</v>
      </c>
      <c r="H37" s="734"/>
    </row>
    <row r="38" spans="1:8" ht="16.5" hidden="1" customHeight="1">
      <c r="A38" s="550" t="s">
        <v>658</v>
      </c>
      <c r="B38" s="551" t="s">
        <v>651</v>
      </c>
      <c r="C38" s="680"/>
      <c r="G38" s="693" t="e">
        <f>+#REF!-#REF!</f>
        <v>#REF!</v>
      </c>
      <c r="H38" s="734"/>
    </row>
    <row r="39" spans="1:8" ht="16.5" hidden="1" customHeight="1">
      <c r="A39" s="550" t="s">
        <v>657</v>
      </c>
      <c r="B39" s="551" t="s">
        <v>649</v>
      </c>
      <c r="C39" s="680"/>
      <c r="G39" s="693" t="e">
        <f>+#REF!-#REF!</f>
        <v>#REF!</v>
      </c>
      <c r="H39" s="734"/>
    </row>
    <row r="40" spans="1:8" ht="16.5" hidden="1" customHeight="1">
      <c r="A40" s="550" t="s">
        <v>656</v>
      </c>
      <c r="B40" s="551" t="s">
        <v>655</v>
      </c>
      <c r="C40" s="680"/>
      <c r="G40" s="693" t="e">
        <f>+#REF!-#REF!</f>
        <v>#REF!</v>
      </c>
      <c r="H40" s="734"/>
    </row>
    <row r="41" spans="1:8" ht="16.5" hidden="1" customHeight="1">
      <c r="A41" s="550" t="s">
        <v>654</v>
      </c>
      <c r="B41" s="551" t="s">
        <v>653</v>
      </c>
      <c r="C41" s="680"/>
      <c r="G41" s="693" t="e">
        <f>+#REF!-#REF!</f>
        <v>#REF!</v>
      </c>
      <c r="H41" s="734"/>
    </row>
    <row r="42" spans="1:8" s="552" customFormat="1" ht="21.95" customHeight="1">
      <c r="A42" s="914" t="s">
        <v>214</v>
      </c>
      <c r="B42" s="915" t="s">
        <v>696</v>
      </c>
      <c r="C42" s="689">
        <v>1</v>
      </c>
      <c r="G42" s="693" t="e">
        <f>+#REF!-#REF!</f>
        <v>#REF!</v>
      </c>
      <c r="H42" s="734"/>
    </row>
    <row r="43" spans="1:8" ht="16.5" customHeight="1">
      <c r="A43" s="550" t="s">
        <v>215</v>
      </c>
      <c r="B43" s="551" t="s">
        <v>216</v>
      </c>
      <c r="C43" s="680"/>
      <c r="G43" s="693" t="e">
        <f>+#REF!-#REF!</f>
        <v>#REF!</v>
      </c>
      <c r="H43" s="734"/>
    </row>
    <row r="44" spans="1:8" ht="16.5" customHeight="1">
      <c r="A44" s="550" t="s">
        <v>217</v>
      </c>
      <c r="B44" s="551" t="s">
        <v>218</v>
      </c>
      <c r="C44" s="680">
        <v>1</v>
      </c>
      <c r="G44" s="693" t="e">
        <f>+#REF!-#REF!</f>
        <v>#REF!</v>
      </c>
      <c r="H44" s="734"/>
    </row>
    <row r="45" spans="1:8" s="552" customFormat="1" ht="30" hidden="1" customHeight="1">
      <c r="A45" s="914" t="s">
        <v>219</v>
      </c>
      <c r="B45" s="915" t="s">
        <v>710</v>
      </c>
      <c r="C45" s="689">
        <v>0</v>
      </c>
      <c r="G45" s="693" t="e">
        <f>+#REF!-#REF!</f>
        <v>#REF!</v>
      </c>
      <c r="H45" s="734"/>
    </row>
    <row r="46" spans="1:8" ht="16.5" hidden="1" customHeight="1">
      <c r="A46" s="550" t="s">
        <v>650</v>
      </c>
      <c r="B46" s="551" t="s">
        <v>649</v>
      </c>
      <c r="C46" s="680"/>
      <c r="G46" s="693" t="e">
        <f>+#REF!-#REF!</f>
        <v>#REF!</v>
      </c>
      <c r="H46" s="734"/>
    </row>
    <row r="47" spans="1:8" ht="16.5" hidden="1" customHeight="1">
      <c r="A47" s="550" t="s">
        <v>648</v>
      </c>
      <c r="B47" s="551" t="s">
        <v>647</v>
      </c>
      <c r="C47" s="680"/>
      <c r="G47" s="693" t="e">
        <f>+#REF!-#REF!</f>
        <v>#REF!</v>
      </c>
      <c r="H47" s="734"/>
    </row>
    <row r="48" spans="1:8" ht="16.5" hidden="1" customHeight="1">
      <c r="A48" s="550" t="s">
        <v>646</v>
      </c>
      <c r="B48" s="551" t="s">
        <v>645</v>
      </c>
      <c r="C48" s="680"/>
      <c r="G48" s="693" t="e">
        <f>+#REF!-#REF!</f>
        <v>#REF!</v>
      </c>
      <c r="H48" s="734"/>
    </row>
    <row r="49" spans="1:8" ht="16.5" hidden="1" customHeight="1">
      <c r="A49" s="550" t="s">
        <v>220</v>
      </c>
      <c r="B49" s="551" t="s">
        <v>16</v>
      </c>
      <c r="C49" s="680"/>
      <c r="G49" s="693" t="e">
        <f>+#REF!-#REF!</f>
        <v>#REF!</v>
      </c>
      <c r="H49" s="734"/>
    </row>
    <row r="50" spans="1:8" s="552" customFormat="1" ht="15">
      <c r="A50" s="914" t="s">
        <v>221</v>
      </c>
      <c r="B50" s="915" t="s">
        <v>709</v>
      </c>
      <c r="C50" s="689">
        <v>23.8612</v>
      </c>
      <c r="F50" s="1149" t="e">
        <f>#REF!-21.237</f>
        <v>#REF!</v>
      </c>
      <c r="G50" s="693" t="e">
        <f>+#REF!-#REF!</f>
        <v>#REF!</v>
      </c>
      <c r="H50" s="734"/>
    </row>
    <row r="51" spans="1:8" ht="16.5" hidden="1" customHeight="1">
      <c r="A51" s="550" t="s">
        <v>222</v>
      </c>
      <c r="B51" s="551" t="s">
        <v>644</v>
      </c>
      <c r="C51" s="680"/>
      <c r="G51" s="693" t="e">
        <f>+#REF!-#REF!</f>
        <v>#REF!</v>
      </c>
      <c r="H51" s="734"/>
    </row>
    <row r="52" spans="1:8" ht="16.5" hidden="1" customHeight="1">
      <c r="A52" s="550" t="s">
        <v>223</v>
      </c>
      <c r="B52" s="551" t="s">
        <v>643</v>
      </c>
      <c r="C52" s="680"/>
      <c r="G52" s="693" t="e">
        <f>+#REF!-#REF!</f>
        <v>#REF!</v>
      </c>
      <c r="H52" s="734"/>
    </row>
    <row r="53" spans="1:8" ht="16.5" customHeight="1">
      <c r="A53" s="550" t="s">
        <v>224</v>
      </c>
      <c r="B53" s="551" t="s">
        <v>642</v>
      </c>
      <c r="C53" s="680">
        <v>0.5</v>
      </c>
      <c r="G53" s="693" t="e">
        <f>+#REF!-#REF!</f>
        <v>#REF!</v>
      </c>
      <c r="H53" s="734"/>
    </row>
    <row r="54" spans="1:8" ht="16.5" hidden="1" customHeight="1">
      <c r="A54" s="550" t="s">
        <v>225</v>
      </c>
      <c r="B54" s="551" t="s">
        <v>641</v>
      </c>
      <c r="C54" s="680"/>
      <c r="G54" s="693" t="e">
        <f>+#REF!-#REF!</f>
        <v>#REF!</v>
      </c>
      <c r="H54" s="734"/>
    </row>
    <row r="55" spans="1:8" ht="16.5" customHeight="1">
      <c r="A55" s="550" t="s">
        <v>226</v>
      </c>
      <c r="B55" s="551" t="s">
        <v>640</v>
      </c>
      <c r="C55" s="680">
        <v>18.895</v>
      </c>
      <c r="G55" s="693" t="e">
        <f>+#REF!-#REF!</f>
        <v>#REF!</v>
      </c>
      <c r="H55" s="734"/>
    </row>
    <row r="56" spans="1:8" ht="16.5" hidden="1" customHeight="1">
      <c r="A56" s="550" t="s">
        <v>227</v>
      </c>
      <c r="B56" s="551" t="s">
        <v>639</v>
      </c>
      <c r="C56" s="680"/>
      <c r="G56" s="693" t="e">
        <f>+#REF!-#REF!</f>
        <v>#REF!</v>
      </c>
      <c r="H56" s="734"/>
    </row>
    <row r="57" spans="1:8" ht="16.5" customHeight="1">
      <c r="A57" s="550" t="s">
        <v>228</v>
      </c>
      <c r="B57" s="551" t="s">
        <v>638</v>
      </c>
      <c r="C57" s="680">
        <v>1.2</v>
      </c>
      <c r="G57" s="693" t="e">
        <f>+#REF!-#REF!</f>
        <v>#REF!</v>
      </c>
      <c r="H57" s="734"/>
    </row>
    <row r="58" spans="1:8" ht="16.5" customHeight="1">
      <c r="A58" s="550" t="s">
        <v>229</v>
      </c>
      <c r="B58" s="551" t="s">
        <v>637</v>
      </c>
      <c r="C58" s="680">
        <v>3</v>
      </c>
      <c r="G58" s="693" t="e">
        <f>+#REF!-#REF!</f>
        <v>#REF!</v>
      </c>
      <c r="H58" s="734"/>
    </row>
    <row r="59" spans="1:8" ht="16.5" customHeight="1">
      <c r="A59" s="550" t="s">
        <v>230</v>
      </c>
      <c r="B59" s="551" t="s">
        <v>1255</v>
      </c>
      <c r="C59" s="680">
        <v>0.26619999999999999</v>
      </c>
      <c r="G59" s="693" t="e">
        <f>+#REF!-#REF!</f>
        <v>#REF!</v>
      </c>
      <c r="H59" s="734"/>
    </row>
    <row r="60" spans="1:8" s="552" customFormat="1" ht="15">
      <c r="A60" s="914" t="s">
        <v>231</v>
      </c>
      <c r="B60" s="915" t="s">
        <v>697</v>
      </c>
      <c r="C60" s="689">
        <v>251.46539999999999</v>
      </c>
      <c r="F60" s="1150" t="e">
        <f>#REF!-196.254</f>
        <v>#REF!</v>
      </c>
      <c r="G60" s="693" t="e">
        <f>+#REF!-#REF!</f>
        <v>#REF!</v>
      </c>
      <c r="H60" s="734"/>
    </row>
    <row r="61" spans="1:8" ht="16.5" customHeight="1">
      <c r="A61" s="550" t="s">
        <v>232</v>
      </c>
      <c r="B61" s="551" t="s">
        <v>233</v>
      </c>
      <c r="C61" s="680">
        <v>9.6980000000000004</v>
      </c>
      <c r="G61" s="693" t="e">
        <f>+#REF!-#REF!</f>
        <v>#REF!</v>
      </c>
      <c r="H61" s="734"/>
    </row>
    <row r="62" spans="1:8" ht="16.5" customHeight="1">
      <c r="A62" s="550" t="s">
        <v>234</v>
      </c>
      <c r="B62" s="551" t="s">
        <v>636</v>
      </c>
      <c r="C62" s="680">
        <v>10</v>
      </c>
      <c r="G62" s="693" t="e">
        <f>+#REF!-#REF!</f>
        <v>#REF!</v>
      </c>
      <c r="H62" s="734"/>
    </row>
    <row r="63" spans="1:8" ht="24" customHeight="1">
      <c r="A63" s="550" t="s">
        <v>235</v>
      </c>
      <c r="B63" s="551" t="s">
        <v>635</v>
      </c>
      <c r="C63" s="680">
        <v>2.6619999999999999</v>
      </c>
      <c r="G63" s="693" t="e">
        <f>+#REF!-#REF!</f>
        <v>#REF!</v>
      </c>
      <c r="H63" s="734"/>
    </row>
    <row r="64" spans="1:8" ht="16.5" customHeight="1">
      <c r="A64" s="550" t="s">
        <v>236</v>
      </c>
      <c r="B64" s="551" t="s">
        <v>634</v>
      </c>
      <c r="C64" s="680">
        <v>1.331</v>
      </c>
      <c r="G64" s="693" t="e">
        <f>+#REF!-#REF!</f>
        <v>#REF!</v>
      </c>
      <c r="H64" s="734"/>
    </row>
    <row r="65" spans="1:8" ht="16.5" hidden="1" customHeight="1">
      <c r="A65" s="550" t="s">
        <v>237</v>
      </c>
      <c r="B65" s="551" t="s">
        <v>633</v>
      </c>
      <c r="C65" s="680">
        <v>0</v>
      </c>
      <c r="G65" s="693" t="e">
        <f>+#REF!-#REF!</f>
        <v>#REF!</v>
      </c>
      <c r="H65" s="734"/>
    </row>
    <row r="66" spans="1:8" ht="16.5" customHeight="1">
      <c r="A66" s="550" t="s">
        <v>238</v>
      </c>
      <c r="B66" s="551" t="s">
        <v>632</v>
      </c>
      <c r="C66" s="680">
        <v>0.5</v>
      </c>
      <c r="G66" s="693" t="e">
        <f>+#REF!-#REF!</f>
        <v>#REF!</v>
      </c>
      <c r="H66" s="734"/>
    </row>
    <row r="67" spans="1:8" ht="16.5" customHeight="1">
      <c r="A67" s="550" t="s">
        <v>1702</v>
      </c>
      <c r="B67" s="551" t="s">
        <v>1701</v>
      </c>
      <c r="C67" s="680"/>
      <c r="G67" s="693" t="e">
        <f>+#REF!-#REF!</f>
        <v>#REF!</v>
      </c>
      <c r="H67" s="734"/>
    </row>
    <row r="68" spans="1:8" ht="16.5" customHeight="1">
      <c r="A68" s="550" t="s">
        <v>239</v>
      </c>
      <c r="B68" s="551" t="s">
        <v>631</v>
      </c>
      <c r="C68" s="680">
        <v>1</v>
      </c>
      <c r="G68" s="693" t="e">
        <f>+#REF!-#REF!</f>
        <v>#REF!</v>
      </c>
      <c r="H68" s="734"/>
    </row>
    <row r="69" spans="1:8" ht="16.5" customHeight="1">
      <c r="A69" s="550" t="s">
        <v>240</v>
      </c>
      <c r="B69" s="551" t="s">
        <v>630</v>
      </c>
      <c r="C69" s="680">
        <v>3</v>
      </c>
      <c r="G69" s="693" t="e">
        <f>+#REF!-#REF!</f>
        <v>#REF!</v>
      </c>
      <c r="H69" s="734"/>
    </row>
    <row r="70" spans="1:8" ht="24" hidden="1" customHeight="1">
      <c r="A70" s="550" t="s">
        <v>241</v>
      </c>
      <c r="B70" s="551" t="s">
        <v>629</v>
      </c>
      <c r="C70" s="680"/>
      <c r="G70" s="693" t="e">
        <f>+#REF!-#REF!</f>
        <v>#REF!</v>
      </c>
      <c r="H70" s="734"/>
    </row>
    <row r="71" spans="1:8" ht="16.5" hidden="1" customHeight="1">
      <c r="A71" s="550" t="s">
        <v>242</v>
      </c>
      <c r="B71" s="551" t="s">
        <v>628</v>
      </c>
      <c r="C71" s="680"/>
      <c r="G71" s="693" t="e">
        <f>+#REF!-#REF!</f>
        <v>#REF!</v>
      </c>
      <c r="H71" s="734"/>
    </row>
    <row r="72" spans="1:8" ht="24" hidden="1" customHeight="1">
      <c r="A72" s="550" t="s">
        <v>243</v>
      </c>
      <c r="B72" s="551" t="s">
        <v>627</v>
      </c>
      <c r="C72" s="680"/>
      <c r="G72" s="693" t="e">
        <f>+#REF!-#REF!</f>
        <v>#REF!</v>
      </c>
      <c r="H72" s="734"/>
    </row>
    <row r="73" spans="1:8" ht="16.5" hidden="1" customHeight="1">
      <c r="A73" s="550" t="s">
        <v>244</v>
      </c>
      <c r="B73" s="551" t="s">
        <v>626</v>
      </c>
      <c r="C73" s="680"/>
      <c r="G73" s="693" t="e">
        <f>+#REF!-#REF!</f>
        <v>#REF!</v>
      </c>
      <c r="H73" s="734"/>
    </row>
    <row r="74" spans="1:8" ht="16.5" customHeight="1">
      <c r="A74" s="550" t="s">
        <v>245</v>
      </c>
      <c r="B74" s="551" t="s">
        <v>625</v>
      </c>
      <c r="C74" s="680">
        <v>0.26619999999999999</v>
      </c>
      <c r="G74" s="693" t="e">
        <f>+#REF!-#REF!</f>
        <v>#REF!</v>
      </c>
      <c r="H74" s="734"/>
    </row>
    <row r="75" spans="1:8" ht="24" customHeight="1">
      <c r="A75" s="550" t="s">
        <v>246</v>
      </c>
      <c r="B75" s="553" t="s">
        <v>624</v>
      </c>
      <c r="C75" s="680">
        <v>0.96800000000000008</v>
      </c>
      <c r="G75" s="693" t="e">
        <f>+#REF!-#REF!</f>
        <v>#REF!</v>
      </c>
      <c r="H75" s="734"/>
    </row>
    <row r="76" spans="1:8" ht="24" customHeight="1">
      <c r="A76" s="550" t="s">
        <v>247</v>
      </c>
      <c r="B76" s="551" t="s">
        <v>623</v>
      </c>
      <c r="C76" s="680">
        <v>15</v>
      </c>
      <c r="G76" s="693" t="e">
        <f>+#REF!-#REF!</f>
        <v>#REF!</v>
      </c>
      <c r="H76" s="734"/>
    </row>
    <row r="77" spans="1:8" ht="16.5" hidden="1" customHeight="1">
      <c r="A77" s="550" t="s">
        <v>248</v>
      </c>
      <c r="B77" s="551" t="s">
        <v>622</v>
      </c>
      <c r="C77" s="680"/>
      <c r="G77" s="693" t="e">
        <f>+#REF!-#REF!</f>
        <v>#REF!</v>
      </c>
      <c r="H77" s="734"/>
    </row>
    <row r="78" spans="1:8" ht="16.5" hidden="1" customHeight="1">
      <c r="A78" s="550" t="s">
        <v>249</v>
      </c>
      <c r="B78" s="551" t="s">
        <v>621</v>
      </c>
      <c r="C78" s="680"/>
      <c r="G78" s="693" t="e">
        <f>+#REF!-#REF!</f>
        <v>#REF!</v>
      </c>
      <c r="H78" s="734"/>
    </row>
    <row r="79" spans="1:8" ht="16.5" hidden="1" customHeight="1">
      <c r="A79" s="550" t="s">
        <v>250</v>
      </c>
      <c r="B79" s="551" t="s">
        <v>620</v>
      </c>
      <c r="C79" s="680"/>
      <c r="G79" s="693" t="e">
        <f>+#REF!-#REF!</f>
        <v>#REF!</v>
      </c>
      <c r="H79" s="734"/>
    </row>
    <row r="80" spans="1:8" ht="16.5" customHeight="1">
      <c r="A80" s="550" t="s">
        <v>251</v>
      </c>
      <c r="B80" s="551" t="s">
        <v>619</v>
      </c>
      <c r="C80" s="680">
        <v>0.26619999999999999</v>
      </c>
      <c r="G80" s="693" t="e">
        <f>+#REF!-#REF!</f>
        <v>#REF!</v>
      </c>
      <c r="H80" s="734"/>
    </row>
    <row r="81" spans="1:8" ht="16.5" customHeight="1">
      <c r="A81" s="550" t="s">
        <v>252</v>
      </c>
      <c r="B81" s="551" t="s">
        <v>1256</v>
      </c>
      <c r="C81" s="680">
        <v>2.5</v>
      </c>
      <c r="G81" s="693" t="e">
        <f>+#REF!-#REF!</f>
        <v>#REF!</v>
      </c>
      <c r="H81" s="734"/>
    </row>
    <row r="82" spans="1:8" ht="16.5" customHeight="1">
      <c r="A82" s="550" t="s">
        <v>252</v>
      </c>
      <c r="B82" s="551" t="s">
        <v>1257</v>
      </c>
      <c r="C82" s="680">
        <v>14.19</v>
      </c>
      <c r="G82" s="693" t="e">
        <f>+#REF!-#REF!</f>
        <v>#REF!</v>
      </c>
      <c r="H82" s="734"/>
    </row>
    <row r="83" spans="1:8" ht="16.5" hidden="1" customHeight="1">
      <c r="A83" s="550" t="s">
        <v>253</v>
      </c>
      <c r="B83" s="551" t="s">
        <v>617</v>
      </c>
      <c r="C83" s="680"/>
      <c r="G83" s="693" t="e">
        <f>+#REF!-#REF!</f>
        <v>#REF!</v>
      </c>
      <c r="H83" s="734"/>
    </row>
    <row r="84" spans="1:8" hidden="1">
      <c r="A84" s="918"/>
      <c r="B84" s="918"/>
      <c r="C84" s="919"/>
      <c r="G84" s="693" t="e">
        <f>+#REF!-#REF!</f>
        <v>#REF!</v>
      </c>
    </row>
    <row r="85" spans="1:8" ht="16.5" customHeight="1">
      <c r="A85" s="550" t="s">
        <v>614</v>
      </c>
      <c r="B85" s="551" t="s">
        <v>1258</v>
      </c>
      <c r="C85" s="680">
        <v>9.7739999999999991</v>
      </c>
      <c r="G85" s="693" t="e">
        <f>+#REF!-#REF!</f>
        <v>#REF!</v>
      </c>
      <c r="H85" s="734"/>
    </row>
    <row r="86" spans="1:8" ht="14.25" hidden="1" customHeight="1">
      <c r="A86" s="550" t="s">
        <v>613</v>
      </c>
      <c r="B86" s="551" t="s">
        <v>612</v>
      </c>
      <c r="C86" s="680"/>
      <c r="G86" s="693" t="e">
        <f>+#REF!-#REF!</f>
        <v>#REF!</v>
      </c>
      <c r="H86" s="734"/>
    </row>
    <row r="87" spans="1:8" ht="14.25" hidden="1" customHeight="1">
      <c r="A87" s="550" t="s">
        <v>254</v>
      </c>
      <c r="B87" s="551" t="s">
        <v>611</v>
      </c>
      <c r="C87" s="680"/>
      <c r="G87" s="693" t="e">
        <f>+#REF!-#REF!</f>
        <v>#REF!</v>
      </c>
      <c r="H87" s="734"/>
    </row>
    <row r="88" spans="1:8" ht="14.25" hidden="1" customHeight="1">
      <c r="A88" s="550" t="s">
        <v>255</v>
      </c>
      <c r="B88" s="551" t="s">
        <v>16</v>
      </c>
      <c r="C88" s="680"/>
      <c r="G88" s="693" t="e">
        <f>+#REF!-#REF!</f>
        <v>#REF!</v>
      </c>
      <c r="H88" s="734"/>
    </row>
    <row r="89" spans="1:8" ht="25.5">
      <c r="A89" s="550" t="s">
        <v>256</v>
      </c>
      <c r="B89" s="551" t="s">
        <v>883</v>
      </c>
      <c r="C89" s="680">
        <v>29.5</v>
      </c>
      <c r="G89" s="693" t="e">
        <f>+#REF!-#REF!</f>
        <v>#REF!</v>
      </c>
      <c r="H89" s="734"/>
    </row>
    <row r="90" spans="1:8" ht="31.5" customHeight="1">
      <c r="A90" s="550" t="s">
        <v>257</v>
      </c>
      <c r="B90" s="551" t="s">
        <v>878</v>
      </c>
      <c r="C90" s="680">
        <v>1.8099999999999998</v>
      </c>
      <c r="G90" s="693" t="e">
        <f>+#REF!-#REF!</f>
        <v>#REF!</v>
      </c>
      <c r="H90" s="734"/>
    </row>
    <row r="91" spans="1:8" ht="25.5">
      <c r="A91" s="550" t="s">
        <v>258</v>
      </c>
      <c r="B91" s="551" t="s">
        <v>884</v>
      </c>
      <c r="C91" s="680"/>
      <c r="G91" s="693" t="e">
        <f>+#REF!-#REF!</f>
        <v>#REF!</v>
      </c>
      <c r="H91" s="734"/>
    </row>
    <row r="92" spans="1:8" ht="16.5" customHeight="1">
      <c r="A92" s="550" t="s">
        <v>259</v>
      </c>
      <c r="B92" s="551" t="s">
        <v>879</v>
      </c>
      <c r="C92" s="680">
        <v>77</v>
      </c>
      <c r="G92" s="693" t="e">
        <f>+#REF!-#REF!</f>
        <v>#REF!</v>
      </c>
      <c r="H92" s="734"/>
    </row>
    <row r="93" spans="1:8" ht="16.5" customHeight="1">
      <c r="A93" s="550" t="s">
        <v>236</v>
      </c>
      <c r="B93" s="551" t="s">
        <v>880</v>
      </c>
      <c r="C93" s="680">
        <v>6</v>
      </c>
      <c r="G93" s="693" t="e">
        <f>+#REF!-#REF!</f>
        <v>#REF!</v>
      </c>
      <c r="H93" s="734"/>
    </row>
    <row r="94" spans="1:8" hidden="1">
      <c r="A94" s="918"/>
      <c r="B94" s="918"/>
      <c r="C94" s="919"/>
      <c r="G94" s="693" t="e">
        <f>+#REF!-#REF!</f>
        <v>#REF!</v>
      </c>
    </row>
    <row r="95" spans="1:8" ht="35.25" customHeight="1">
      <c r="A95" s="550" t="s">
        <v>877</v>
      </c>
      <c r="B95" s="551" t="s">
        <v>882</v>
      </c>
      <c r="C95" s="680">
        <v>15</v>
      </c>
      <c r="G95" s="693" t="e">
        <f>+#REF!-#REF!</f>
        <v>#REF!</v>
      </c>
      <c r="H95" s="734"/>
    </row>
    <row r="96" spans="1:8" hidden="1">
      <c r="A96" s="918"/>
      <c r="B96" s="918"/>
      <c r="C96" s="919"/>
      <c r="G96" s="693" t="e">
        <f>+#REF!-#REF!</f>
        <v>#REF!</v>
      </c>
    </row>
    <row r="97" spans="1:8" ht="24" customHeight="1">
      <c r="A97" s="550" t="s">
        <v>1260</v>
      </c>
      <c r="B97" s="551" t="s">
        <v>1267</v>
      </c>
      <c r="C97" s="680">
        <v>50</v>
      </c>
      <c r="G97" s="693" t="e">
        <f>+#REF!-#REF!</f>
        <v>#REF!</v>
      </c>
      <c r="H97" s="734"/>
    </row>
    <row r="98" spans="1:8" ht="16.5" customHeight="1">
      <c r="A98" s="550" t="s">
        <v>1261</v>
      </c>
      <c r="B98" s="551" t="s">
        <v>1268</v>
      </c>
      <c r="C98" s="680">
        <v>1</v>
      </c>
      <c r="G98" s="693" t="e">
        <f>+#REF!-#REF!</f>
        <v>#REF!</v>
      </c>
      <c r="H98" s="734"/>
    </row>
    <row r="99" spans="1:8" ht="25.5" hidden="1">
      <c r="A99" s="550" t="s">
        <v>1262</v>
      </c>
      <c r="B99" s="551" t="s">
        <v>1269</v>
      </c>
      <c r="C99" s="680"/>
      <c r="G99" s="693" t="e">
        <f>+#REF!-#REF!</f>
        <v>#REF!</v>
      </c>
      <c r="H99" s="734"/>
    </row>
    <row r="100" spans="1:8" ht="16.5" hidden="1" customHeight="1">
      <c r="A100" s="550" t="s">
        <v>1263</v>
      </c>
      <c r="B100" s="551"/>
      <c r="C100" s="680"/>
      <c r="G100" s="693" t="e">
        <f>+#REF!-#REF!</f>
        <v>#REF!</v>
      </c>
      <c r="H100" s="734"/>
    </row>
    <row r="101" spans="1:8" ht="16.5" hidden="1" customHeight="1">
      <c r="A101" s="550" t="s">
        <v>1264</v>
      </c>
      <c r="B101" s="551"/>
      <c r="C101" s="680"/>
      <c r="G101" s="693" t="e">
        <f>+#REF!-#REF!</f>
        <v>#REF!</v>
      </c>
      <c r="H101" s="734"/>
    </row>
    <row r="102" spans="1:8" ht="24" hidden="1" customHeight="1">
      <c r="A102" s="550" t="s">
        <v>1265</v>
      </c>
      <c r="B102" s="551"/>
      <c r="C102" s="680"/>
      <c r="G102" s="693" t="e">
        <f>+#REF!-#REF!</f>
        <v>#REF!</v>
      </c>
      <c r="H102" s="734"/>
    </row>
    <row r="103" spans="1:8" s="552" customFormat="1" ht="24.95" customHeight="1">
      <c r="A103" s="914" t="s">
        <v>610</v>
      </c>
      <c r="B103" s="915" t="s">
        <v>609</v>
      </c>
      <c r="C103" s="922">
        <v>763.00909999999999</v>
      </c>
      <c r="F103" s="1150" t="e">
        <f>#REF!-416.726</f>
        <v>#REF!</v>
      </c>
      <c r="G103" s="693" t="e">
        <f>+#REF!-#REF!</f>
        <v>#REF!</v>
      </c>
      <c r="H103" s="734"/>
    </row>
    <row r="104" spans="1:8" ht="6.75" customHeight="1">
      <c r="A104" s="1370"/>
      <c r="B104" s="1371"/>
      <c r="C104" s="1372"/>
      <c r="G104" s="693" t="e">
        <f>+#REF!-#REF!</f>
        <v>#REF!</v>
      </c>
      <c r="H104" s="734"/>
    </row>
    <row r="105" spans="1:8" s="552" customFormat="1" ht="15">
      <c r="A105" s="914" t="s">
        <v>601</v>
      </c>
      <c r="B105" s="915" t="s">
        <v>698</v>
      </c>
      <c r="C105" s="922">
        <v>1119.8473000000001</v>
      </c>
      <c r="F105" s="1149" t="e">
        <f>#REF!-1019.406</f>
        <v>#REF!</v>
      </c>
      <c r="G105" s="693" t="e">
        <f>+#REF!-#REF!</f>
        <v>#REF!</v>
      </c>
      <c r="H105" s="734"/>
    </row>
    <row r="106" spans="1:8" ht="16.5" customHeight="1">
      <c r="A106" s="554" t="s">
        <v>260</v>
      </c>
      <c r="B106" s="551" t="s">
        <v>261</v>
      </c>
      <c r="C106" s="680">
        <v>887.92730000000006</v>
      </c>
      <c r="G106" s="693" t="e">
        <f>+#REF!-#REF!</f>
        <v>#REF!</v>
      </c>
      <c r="H106" s="734"/>
    </row>
    <row r="107" spans="1:8" ht="16.5" customHeight="1">
      <c r="A107" s="554" t="s">
        <v>262</v>
      </c>
      <c r="B107" s="551" t="s">
        <v>608</v>
      </c>
      <c r="C107" s="680">
        <v>195.745</v>
      </c>
      <c r="G107" s="693" t="e">
        <f>+#REF!-#REF!</f>
        <v>#REF!</v>
      </c>
      <c r="H107" s="734"/>
    </row>
    <row r="108" spans="1:8" ht="16.5" hidden="1" customHeight="1">
      <c r="A108" s="554" t="s">
        <v>263</v>
      </c>
      <c r="B108" s="551" t="s">
        <v>264</v>
      </c>
      <c r="C108" s="680"/>
      <c r="G108" s="693" t="e">
        <f>+#REF!-#REF!</f>
        <v>#REF!</v>
      </c>
      <c r="H108" s="734"/>
    </row>
    <row r="109" spans="1:8" ht="16.5" hidden="1" customHeight="1">
      <c r="A109" s="554" t="s">
        <v>265</v>
      </c>
      <c r="B109" s="551" t="s">
        <v>607</v>
      </c>
      <c r="C109" s="680"/>
      <c r="G109" s="693" t="e">
        <f>+#REF!-#REF!</f>
        <v>#REF!</v>
      </c>
      <c r="H109" s="734"/>
    </row>
    <row r="110" spans="1:8" ht="24" hidden="1" customHeight="1">
      <c r="A110" s="554" t="s">
        <v>266</v>
      </c>
      <c r="B110" s="551" t="s">
        <v>606</v>
      </c>
      <c r="C110" s="680"/>
      <c r="G110" s="693" t="e">
        <f>+#REF!-#REF!</f>
        <v>#REF!</v>
      </c>
      <c r="H110" s="734"/>
    </row>
    <row r="111" spans="1:8" ht="24" hidden="1" customHeight="1">
      <c r="A111" s="554" t="s">
        <v>267</v>
      </c>
      <c r="B111" s="551" t="s">
        <v>605</v>
      </c>
      <c r="C111" s="680"/>
      <c r="G111" s="693" t="e">
        <f>+#REF!-#REF!</f>
        <v>#REF!</v>
      </c>
      <c r="H111" s="734"/>
    </row>
    <row r="112" spans="1:8" ht="24" customHeight="1">
      <c r="A112" s="554" t="s">
        <v>268</v>
      </c>
      <c r="B112" s="551" t="s">
        <v>604</v>
      </c>
      <c r="C112" s="680">
        <v>1.21</v>
      </c>
      <c r="G112" s="693" t="e">
        <f>+#REF!-#REF!</f>
        <v>#REF!</v>
      </c>
      <c r="H112" s="734"/>
    </row>
    <row r="113" spans="1:8" ht="24" customHeight="1">
      <c r="A113" s="554" t="s">
        <v>269</v>
      </c>
      <c r="B113" s="551" t="s">
        <v>603</v>
      </c>
      <c r="C113" s="680">
        <v>19.965</v>
      </c>
      <c r="G113" s="693" t="e">
        <f>+#REF!-#REF!</f>
        <v>#REF!</v>
      </c>
      <c r="H113" s="734"/>
    </row>
    <row r="114" spans="1:8" ht="24" customHeight="1">
      <c r="A114" s="550" t="s">
        <v>270</v>
      </c>
      <c r="B114" s="551" t="s">
        <v>602</v>
      </c>
      <c r="C114" s="680">
        <v>15</v>
      </c>
      <c r="G114" s="693" t="e">
        <f>+#REF!-#REF!</f>
        <v>#REF!</v>
      </c>
      <c r="H114" s="734"/>
    </row>
    <row r="115" spans="1:8" s="552" customFormat="1" ht="20.100000000000001" customHeight="1">
      <c r="A115" s="914" t="s">
        <v>592</v>
      </c>
      <c r="B115" s="915" t="s">
        <v>699</v>
      </c>
      <c r="C115" s="691">
        <v>29.084900000000005</v>
      </c>
      <c r="G115" s="693" t="e">
        <f>+#REF!-#REF!</f>
        <v>#REF!</v>
      </c>
      <c r="H115" s="734"/>
    </row>
    <row r="116" spans="1:8" ht="16.5" customHeight="1">
      <c r="A116" s="550" t="s">
        <v>175</v>
      </c>
      <c r="B116" s="551" t="s">
        <v>176</v>
      </c>
      <c r="C116" s="680">
        <v>3</v>
      </c>
      <c r="G116" s="693" t="e">
        <f>+#REF!-#REF!</f>
        <v>#REF!</v>
      </c>
      <c r="H116" s="734"/>
    </row>
    <row r="117" spans="1:8" ht="16.5" customHeight="1">
      <c r="A117" s="550" t="s">
        <v>177</v>
      </c>
      <c r="B117" s="551" t="s">
        <v>600</v>
      </c>
      <c r="C117" s="680">
        <v>6</v>
      </c>
      <c r="G117" s="693" t="e">
        <f>+#REF!-#REF!</f>
        <v>#REF!</v>
      </c>
      <c r="H117" s="734"/>
    </row>
    <row r="118" spans="1:8" ht="16.5" customHeight="1">
      <c r="A118" s="550" t="s">
        <v>178</v>
      </c>
      <c r="B118" s="551" t="s">
        <v>599</v>
      </c>
      <c r="C118" s="680">
        <v>0.36630000000000007</v>
      </c>
      <c r="G118" s="693" t="e">
        <f>+#REF!-#REF!</f>
        <v>#REF!</v>
      </c>
      <c r="H118" s="734"/>
    </row>
    <row r="119" spans="1:8" ht="16.5" customHeight="1">
      <c r="A119" s="550" t="s">
        <v>179</v>
      </c>
      <c r="B119" s="551" t="s">
        <v>598</v>
      </c>
      <c r="C119" s="680">
        <v>10</v>
      </c>
      <c r="G119" s="693" t="e">
        <f>+#REF!-#REF!</f>
        <v>#REF!</v>
      </c>
      <c r="H119" s="734"/>
    </row>
    <row r="120" spans="1:8" ht="16.5" customHeight="1">
      <c r="A120" s="550" t="s">
        <v>180</v>
      </c>
      <c r="B120" s="551" t="s">
        <v>597</v>
      </c>
      <c r="C120" s="680">
        <v>6.6550000000000002</v>
      </c>
      <c r="G120" s="693" t="e">
        <f>+#REF!-#REF!</f>
        <v>#REF!</v>
      </c>
      <c r="H120" s="734"/>
    </row>
    <row r="121" spans="1:8" ht="16.5" customHeight="1">
      <c r="A121" s="550" t="s">
        <v>181</v>
      </c>
      <c r="B121" s="551" t="s">
        <v>182</v>
      </c>
      <c r="C121" s="680">
        <v>1.331</v>
      </c>
      <c r="G121" s="693" t="e">
        <f>+#REF!-#REF!</f>
        <v>#REF!</v>
      </c>
      <c r="H121" s="734"/>
    </row>
    <row r="122" spans="1:8" ht="16.5" customHeight="1">
      <c r="A122" s="550" t="s">
        <v>183</v>
      </c>
      <c r="B122" s="551" t="s">
        <v>163</v>
      </c>
      <c r="C122" s="680">
        <v>0.39930000000000004</v>
      </c>
      <c r="G122" s="693" t="e">
        <f>+#REF!-#REF!</f>
        <v>#REF!</v>
      </c>
      <c r="H122" s="734"/>
    </row>
    <row r="123" spans="1:8" ht="16.5" customHeight="1">
      <c r="A123" s="550" t="s">
        <v>184</v>
      </c>
      <c r="B123" s="551" t="s">
        <v>165</v>
      </c>
      <c r="C123" s="680">
        <v>0.33330000000000004</v>
      </c>
      <c r="G123" s="693" t="e">
        <f>+#REF!-#REF!</f>
        <v>#REF!</v>
      </c>
      <c r="H123" s="734"/>
    </row>
    <row r="124" spans="1:8" ht="16.5" hidden="1" customHeight="1">
      <c r="A124" s="550" t="s">
        <v>185</v>
      </c>
      <c r="B124" s="551" t="s">
        <v>596</v>
      </c>
      <c r="C124" s="680"/>
      <c r="G124" s="693" t="e">
        <f>+#REF!-#REF!</f>
        <v>#REF!</v>
      </c>
      <c r="H124" s="734"/>
    </row>
    <row r="125" spans="1:8" ht="16.5" hidden="1" customHeight="1">
      <c r="A125" s="550" t="s">
        <v>186</v>
      </c>
      <c r="B125" s="551" t="s">
        <v>595</v>
      </c>
      <c r="C125" s="680"/>
      <c r="G125" s="693" t="e">
        <f>+#REF!-#REF!</f>
        <v>#REF!</v>
      </c>
      <c r="H125" s="734"/>
    </row>
    <row r="126" spans="1:8" ht="16.5" hidden="1" customHeight="1">
      <c r="A126" s="550" t="s">
        <v>187</v>
      </c>
      <c r="B126" s="551" t="s">
        <v>594</v>
      </c>
      <c r="C126" s="680"/>
      <c r="G126" s="693" t="e">
        <f>+#REF!-#REF!</f>
        <v>#REF!</v>
      </c>
      <c r="H126" s="734"/>
    </row>
    <row r="127" spans="1:8" ht="16.5" customHeight="1">
      <c r="A127" s="550" t="s">
        <v>188</v>
      </c>
      <c r="B127" s="551" t="s">
        <v>1270</v>
      </c>
      <c r="C127" s="680">
        <v>1</v>
      </c>
      <c r="G127" s="693" t="e">
        <f>+#REF!-#REF!</f>
        <v>#REF!</v>
      </c>
      <c r="H127" s="734"/>
    </row>
    <row r="128" spans="1:8" s="552" customFormat="1" ht="20.100000000000001" hidden="1" customHeight="1">
      <c r="A128" s="914" t="s">
        <v>189</v>
      </c>
      <c r="B128" s="915" t="s">
        <v>700</v>
      </c>
      <c r="C128" s="689">
        <v>0</v>
      </c>
      <c r="G128" s="693" t="e">
        <f>+#REF!-#REF!</f>
        <v>#REF!</v>
      </c>
      <c r="H128" s="734"/>
    </row>
    <row r="129" spans="1:8" ht="16.5" hidden="1" customHeight="1">
      <c r="A129" s="550" t="s">
        <v>190</v>
      </c>
      <c r="B129" s="551" t="s">
        <v>590</v>
      </c>
      <c r="C129" s="680"/>
      <c r="G129" s="693" t="e">
        <f>+#REF!-#REF!</f>
        <v>#REF!</v>
      </c>
      <c r="H129" s="734"/>
    </row>
    <row r="130" spans="1:8" ht="16.5" hidden="1" customHeight="1">
      <c r="A130" s="550" t="s">
        <v>191</v>
      </c>
      <c r="B130" s="551" t="s">
        <v>591</v>
      </c>
      <c r="C130" s="680"/>
      <c r="G130" s="693" t="e">
        <f>+#REF!-#REF!</f>
        <v>#REF!</v>
      </c>
      <c r="H130" s="734"/>
    </row>
    <row r="131" spans="1:8" s="552" customFormat="1" ht="30" customHeight="1">
      <c r="A131" s="914" t="s">
        <v>192</v>
      </c>
      <c r="B131" s="915" t="s">
        <v>708</v>
      </c>
      <c r="C131" s="689">
        <v>45.471000000000004</v>
      </c>
      <c r="G131" s="693" t="e">
        <f>+#REF!-#REF!</f>
        <v>#REF!</v>
      </c>
      <c r="H131" s="734"/>
    </row>
    <row r="132" spans="1:8" ht="16.5" customHeight="1">
      <c r="A132" s="550" t="s">
        <v>193</v>
      </c>
      <c r="B132" s="551" t="s">
        <v>589</v>
      </c>
      <c r="C132" s="680">
        <v>10</v>
      </c>
      <c r="G132" s="693" t="e">
        <f>+#REF!-#REF!</f>
        <v>#REF!</v>
      </c>
      <c r="H132" s="734"/>
    </row>
    <row r="133" spans="1:8" ht="16.5" customHeight="1">
      <c r="A133" s="550" t="s">
        <v>616</v>
      </c>
      <c r="B133" s="551" t="s">
        <v>1704</v>
      </c>
      <c r="C133" s="680">
        <v>19.471</v>
      </c>
      <c r="G133" s="693" t="e">
        <f>+#REF!-#REF!</f>
        <v>#REF!</v>
      </c>
      <c r="H133" s="734"/>
    </row>
    <row r="134" spans="1:8" ht="16.5" customHeight="1">
      <c r="A134" s="550" t="s">
        <v>876</v>
      </c>
      <c r="B134" s="551" t="s">
        <v>881</v>
      </c>
      <c r="C134" s="680">
        <v>15</v>
      </c>
      <c r="G134" s="693" t="e">
        <f>+#REF!-#REF!</f>
        <v>#REF!</v>
      </c>
      <c r="H134" s="734"/>
    </row>
    <row r="135" spans="1:8" ht="27" customHeight="1">
      <c r="A135" s="550" t="s">
        <v>1259</v>
      </c>
      <c r="B135" s="551" t="s">
        <v>1266</v>
      </c>
      <c r="C135" s="680">
        <v>1</v>
      </c>
      <c r="G135" s="693" t="e">
        <f>+#REF!-#REF!</f>
        <v>#REF!</v>
      </c>
      <c r="H135" s="734"/>
    </row>
    <row r="136" spans="1:8" ht="16.5" hidden="1" customHeight="1">
      <c r="A136" s="550" t="s">
        <v>194</v>
      </c>
      <c r="B136" s="551" t="s">
        <v>588</v>
      </c>
      <c r="C136" s="680"/>
      <c r="G136" s="693" t="e">
        <f>+#REF!-#REF!</f>
        <v>#REF!</v>
      </c>
      <c r="H136" s="734"/>
    </row>
    <row r="137" spans="1:8" s="552" customFormat="1" ht="30" customHeight="1">
      <c r="A137" s="914" t="s">
        <v>581</v>
      </c>
      <c r="B137" s="915" t="s">
        <v>701</v>
      </c>
      <c r="C137" s="689">
        <v>100.13290000000001</v>
      </c>
      <c r="G137" s="693" t="e">
        <f>+#REF!-#REF!</f>
        <v>#REF!</v>
      </c>
      <c r="H137" s="734"/>
    </row>
    <row r="138" spans="1:8" ht="16.5" customHeight="1">
      <c r="A138" s="550" t="s">
        <v>271</v>
      </c>
      <c r="B138" s="551" t="s">
        <v>587</v>
      </c>
      <c r="C138" s="680">
        <v>1.4212000000000002</v>
      </c>
      <c r="G138" s="693" t="e">
        <f>+#REF!-#REF!</f>
        <v>#REF!</v>
      </c>
      <c r="H138" s="734"/>
    </row>
    <row r="139" spans="1:8" ht="16.5" customHeight="1">
      <c r="A139" s="550" t="s">
        <v>272</v>
      </c>
      <c r="B139" s="551" t="s">
        <v>1271</v>
      </c>
      <c r="C139" s="680">
        <v>71.55</v>
      </c>
      <c r="G139" s="693" t="e">
        <f>+#REF!-#REF!</f>
        <v>#REF!</v>
      </c>
      <c r="H139" s="734"/>
    </row>
    <row r="140" spans="1:8" ht="16.5" customHeight="1">
      <c r="A140" s="550" t="s">
        <v>272</v>
      </c>
      <c r="B140" s="551" t="s">
        <v>1272</v>
      </c>
      <c r="C140" s="680">
        <v>9.0387000000000022</v>
      </c>
      <c r="G140" s="693" t="e">
        <f>+#REF!-#REF!</f>
        <v>#REF!</v>
      </c>
      <c r="H140" s="734"/>
    </row>
    <row r="141" spans="1:8" ht="16.5" customHeight="1">
      <c r="A141" s="550" t="s">
        <v>273</v>
      </c>
      <c r="B141" s="551" t="s">
        <v>585</v>
      </c>
      <c r="C141" s="680">
        <v>0</v>
      </c>
      <c r="G141" s="693" t="e">
        <f>+#REF!-#REF!</f>
        <v>#REF!</v>
      </c>
      <c r="H141" s="734"/>
    </row>
    <row r="142" spans="1:8" ht="16.5" customHeight="1">
      <c r="A142" s="550" t="s">
        <v>274</v>
      </c>
      <c r="B142" s="551" t="s">
        <v>584</v>
      </c>
      <c r="C142" s="680">
        <v>2.6619999999999999</v>
      </c>
      <c r="G142" s="693" t="e">
        <f>+#REF!-#REF!</f>
        <v>#REF!</v>
      </c>
      <c r="H142" s="734"/>
    </row>
    <row r="143" spans="1:8" ht="16.5" customHeight="1">
      <c r="A143" s="550" t="s">
        <v>1304</v>
      </c>
      <c r="B143" s="896" t="s">
        <v>1497</v>
      </c>
      <c r="C143" s="680">
        <v>15.461</v>
      </c>
      <c r="F143" s="895" t="e">
        <f>+'Anx-I'!#REF!+16.616</f>
        <v>#REF!</v>
      </c>
      <c r="G143" s="693" t="e">
        <f>+#REF!-#REF!</f>
        <v>#REF!</v>
      </c>
      <c r="H143" s="734"/>
    </row>
    <row r="144" spans="1:8" ht="16.5" hidden="1" customHeight="1">
      <c r="A144" s="550" t="s">
        <v>275</v>
      </c>
      <c r="B144" s="551" t="s">
        <v>583</v>
      </c>
      <c r="C144" s="680"/>
      <c r="G144" s="693" t="e">
        <f>+#REF!-#REF!</f>
        <v>#REF!</v>
      </c>
      <c r="H144" s="734"/>
    </row>
    <row r="145" spans="1:8" ht="16.5" hidden="1" customHeight="1">
      <c r="A145" s="550" t="s">
        <v>276</v>
      </c>
      <c r="B145" s="551" t="s">
        <v>582</v>
      </c>
      <c r="C145" s="680"/>
      <c r="G145" s="693" t="e">
        <f>+#REF!-#REF!</f>
        <v>#REF!</v>
      </c>
      <c r="H145" s="734"/>
    </row>
    <row r="146" spans="1:8" ht="16.5" hidden="1" customHeight="1">
      <c r="A146" s="550" t="s">
        <v>277</v>
      </c>
      <c r="B146" s="551" t="s">
        <v>278</v>
      </c>
      <c r="C146" s="680"/>
      <c r="G146" s="693" t="e">
        <f>+#REF!-#REF!</f>
        <v>#REF!</v>
      </c>
      <c r="H146" s="734"/>
    </row>
    <row r="147" spans="1:8" s="552" customFormat="1" ht="20.100000000000001" hidden="1" customHeight="1">
      <c r="A147" s="914" t="s">
        <v>578</v>
      </c>
      <c r="B147" s="915" t="s">
        <v>707</v>
      </c>
      <c r="C147" s="689">
        <v>0</v>
      </c>
      <c r="G147" s="693" t="e">
        <f>+#REF!-#REF!</f>
        <v>#REF!</v>
      </c>
      <c r="H147" s="734"/>
    </row>
    <row r="148" spans="1:8" ht="16.5" hidden="1" customHeight="1">
      <c r="A148" s="550" t="s">
        <v>279</v>
      </c>
      <c r="B148" s="551" t="s">
        <v>580</v>
      </c>
      <c r="C148" s="680"/>
      <c r="G148" s="693" t="e">
        <f>+#REF!-#REF!</f>
        <v>#REF!</v>
      </c>
      <c r="H148" s="734"/>
    </row>
    <row r="149" spans="1:8" ht="16.5" hidden="1" customHeight="1">
      <c r="A149" s="550" t="s">
        <v>579</v>
      </c>
      <c r="B149" s="551" t="s">
        <v>16</v>
      </c>
      <c r="C149" s="680"/>
      <c r="G149" s="693" t="e">
        <f>+#REF!-#REF!</f>
        <v>#REF!</v>
      </c>
      <c r="H149" s="734"/>
    </row>
    <row r="150" spans="1:8" s="552" customFormat="1" ht="30">
      <c r="A150" s="914" t="s">
        <v>574</v>
      </c>
      <c r="B150" s="915" t="s">
        <v>702</v>
      </c>
      <c r="C150" s="689">
        <v>6.2623000000000006</v>
      </c>
      <c r="G150" s="693" t="e">
        <f>+#REF!-#REF!</f>
        <v>#REF!</v>
      </c>
      <c r="H150" s="734"/>
    </row>
    <row r="151" spans="1:8" ht="16.5" customHeight="1">
      <c r="A151" s="550" t="s">
        <v>280</v>
      </c>
      <c r="B151" s="551" t="s">
        <v>577</v>
      </c>
      <c r="C151" s="680">
        <v>5.8630000000000004</v>
      </c>
      <c r="G151" s="693" t="e">
        <f>+#REF!-#REF!</f>
        <v>#REF!</v>
      </c>
      <c r="H151" s="734"/>
    </row>
    <row r="152" spans="1:8" ht="16.5" customHeight="1">
      <c r="A152" s="550" t="s">
        <v>576</v>
      </c>
      <c r="B152" s="551" t="s">
        <v>575</v>
      </c>
      <c r="C152" s="680">
        <v>0.39930000000000004</v>
      </c>
      <c r="G152" s="693" t="e">
        <f>+#REF!-#REF!</f>
        <v>#REF!</v>
      </c>
      <c r="H152" s="734"/>
    </row>
    <row r="153" spans="1:8" s="552" customFormat="1" ht="20.100000000000001" customHeight="1">
      <c r="A153" s="914" t="s">
        <v>560</v>
      </c>
      <c r="B153" s="915" t="s">
        <v>706</v>
      </c>
      <c r="C153" s="689">
        <v>1</v>
      </c>
      <c r="G153" s="693" t="e">
        <f>+#REF!-#REF!</f>
        <v>#REF!</v>
      </c>
      <c r="H153" s="734"/>
    </row>
    <row r="154" spans="1:8" ht="24" hidden="1" customHeight="1">
      <c r="A154" s="550" t="s">
        <v>573</v>
      </c>
      <c r="B154" s="551" t="s">
        <v>572</v>
      </c>
      <c r="C154" s="680"/>
      <c r="G154" s="693" t="e">
        <f>+#REF!-#REF!</f>
        <v>#REF!</v>
      </c>
      <c r="H154" s="734"/>
    </row>
    <row r="155" spans="1:8" ht="24" hidden="1" customHeight="1">
      <c r="A155" s="550" t="s">
        <v>571</v>
      </c>
      <c r="B155" s="551" t="s">
        <v>570</v>
      </c>
      <c r="C155" s="680"/>
      <c r="G155" s="693" t="e">
        <f>+#REF!-#REF!</f>
        <v>#REF!</v>
      </c>
      <c r="H155" s="734"/>
    </row>
    <row r="156" spans="1:8" ht="24" hidden="1" customHeight="1">
      <c r="A156" s="550" t="s">
        <v>569</v>
      </c>
      <c r="B156" s="551" t="s">
        <v>568</v>
      </c>
      <c r="C156" s="680"/>
      <c r="G156" s="693" t="e">
        <f>+#REF!-#REF!</f>
        <v>#REF!</v>
      </c>
      <c r="H156" s="734"/>
    </row>
    <row r="157" spans="1:8" ht="24" hidden="1" customHeight="1">
      <c r="A157" s="550" t="s">
        <v>567</v>
      </c>
      <c r="B157" s="551" t="s">
        <v>566</v>
      </c>
      <c r="C157" s="680"/>
      <c r="G157" s="693" t="e">
        <f>+#REF!-#REF!</f>
        <v>#REF!</v>
      </c>
      <c r="H157" s="734"/>
    </row>
    <row r="158" spans="1:8" ht="16.5" customHeight="1">
      <c r="A158" s="550" t="s">
        <v>565</v>
      </c>
      <c r="B158" s="551" t="s">
        <v>564</v>
      </c>
      <c r="C158" s="680">
        <v>1</v>
      </c>
      <c r="G158" s="693" t="e">
        <f>+#REF!-#REF!</f>
        <v>#REF!</v>
      </c>
      <c r="H158" s="734"/>
    </row>
    <row r="159" spans="1:8" ht="16.5" hidden="1" customHeight="1">
      <c r="A159" s="550" t="s">
        <v>563</v>
      </c>
      <c r="B159" s="551" t="s">
        <v>562</v>
      </c>
      <c r="C159" s="680"/>
      <c r="G159" s="693" t="e">
        <f>+#REF!-#REF!</f>
        <v>#REF!</v>
      </c>
      <c r="H159" s="734"/>
    </row>
    <row r="160" spans="1:8" ht="16.5" hidden="1" customHeight="1">
      <c r="A160" s="550" t="s">
        <v>561</v>
      </c>
      <c r="B160" s="551" t="s">
        <v>16</v>
      </c>
      <c r="C160" s="680"/>
      <c r="G160" s="693" t="e">
        <f>+#REF!-#REF!</f>
        <v>#REF!</v>
      </c>
      <c r="H160" s="734"/>
    </row>
    <row r="161" spans="1:8" s="552" customFormat="1" ht="20.100000000000001" customHeight="1">
      <c r="A161" s="914" t="s">
        <v>281</v>
      </c>
      <c r="B161" s="915" t="s">
        <v>705</v>
      </c>
      <c r="C161" s="689">
        <v>0</v>
      </c>
      <c r="G161" s="693" t="e">
        <f>+#REF!-#REF!</f>
        <v>#REF!</v>
      </c>
      <c r="H161" s="734"/>
    </row>
    <row r="162" spans="1:8" ht="16.5" customHeight="1">
      <c r="A162" s="550" t="s">
        <v>282</v>
      </c>
      <c r="B162" s="551" t="s">
        <v>559</v>
      </c>
      <c r="C162" s="680"/>
      <c r="G162" s="693" t="e">
        <f>+#REF!-#REF!</f>
        <v>#REF!</v>
      </c>
      <c r="H162" s="734"/>
    </row>
    <row r="163" spans="1:8" ht="16.5" customHeight="1">
      <c r="A163" s="550" t="s">
        <v>283</v>
      </c>
      <c r="B163" s="551" t="s">
        <v>558</v>
      </c>
      <c r="C163" s="680"/>
      <c r="G163" s="693" t="e">
        <f>+#REF!-#REF!</f>
        <v>#REF!</v>
      </c>
      <c r="H163" s="734"/>
    </row>
    <row r="164" spans="1:8" ht="16.5" customHeight="1">
      <c r="A164" s="550" t="s">
        <v>284</v>
      </c>
      <c r="B164" s="551" t="s">
        <v>557</v>
      </c>
      <c r="C164" s="680"/>
      <c r="G164" s="693" t="e">
        <f>+#REF!-#REF!</f>
        <v>#REF!</v>
      </c>
      <c r="H164" s="734"/>
    </row>
    <row r="165" spans="1:8" ht="16.5" customHeight="1">
      <c r="A165" s="550" t="s">
        <v>285</v>
      </c>
      <c r="B165" s="551" t="s">
        <v>556</v>
      </c>
      <c r="C165" s="680"/>
      <c r="G165" s="693" t="e">
        <f>+#REF!-#REF!</f>
        <v>#REF!</v>
      </c>
      <c r="H165" s="734"/>
    </row>
    <row r="166" spans="1:8" s="552" customFormat="1" ht="30" customHeight="1">
      <c r="A166" s="914" t="s">
        <v>550</v>
      </c>
      <c r="B166" s="915" t="s">
        <v>703</v>
      </c>
      <c r="C166" s="691">
        <v>13.1</v>
      </c>
      <c r="G166" s="693" t="e">
        <f>+#REF!-#REF!</f>
        <v>#REF!</v>
      </c>
      <c r="H166" s="734"/>
    </row>
    <row r="167" spans="1:8" ht="16.5" customHeight="1">
      <c r="A167" s="550" t="s">
        <v>162</v>
      </c>
      <c r="B167" s="551" t="s">
        <v>163</v>
      </c>
      <c r="C167" s="680">
        <v>2</v>
      </c>
      <c r="G167" s="693" t="e">
        <f>+#REF!-#REF!</f>
        <v>#REF!</v>
      </c>
      <c r="H167" s="734"/>
    </row>
    <row r="168" spans="1:8" ht="16.5" customHeight="1">
      <c r="A168" s="550" t="s">
        <v>164</v>
      </c>
      <c r="B168" s="551" t="s">
        <v>165</v>
      </c>
      <c r="C168" s="680">
        <v>2</v>
      </c>
      <c r="G168" s="693" t="e">
        <f>+#REF!-#REF!</f>
        <v>#REF!</v>
      </c>
      <c r="H168" s="734"/>
    </row>
    <row r="169" spans="1:8" ht="16.5" customHeight="1">
      <c r="A169" s="550" t="s">
        <v>166</v>
      </c>
      <c r="B169" s="551" t="s">
        <v>555</v>
      </c>
      <c r="C169" s="680">
        <v>1</v>
      </c>
      <c r="G169" s="693" t="e">
        <f>+#REF!-#REF!</f>
        <v>#REF!</v>
      </c>
      <c r="H169" s="734"/>
    </row>
    <row r="170" spans="1:8" ht="16.5" customHeight="1">
      <c r="A170" s="550" t="s">
        <v>167</v>
      </c>
      <c r="B170" s="551" t="s">
        <v>554</v>
      </c>
      <c r="C170" s="680">
        <v>0.1</v>
      </c>
      <c r="G170" s="693" t="e">
        <f>+#REF!-#REF!</f>
        <v>#REF!</v>
      </c>
      <c r="H170" s="734"/>
    </row>
    <row r="171" spans="1:8" ht="16.5" customHeight="1">
      <c r="A171" s="550" t="s">
        <v>168</v>
      </c>
      <c r="B171" s="551" t="s">
        <v>553</v>
      </c>
      <c r="C171" s="680">
        <v>2</v>
      </c>
      <c r="G171" s="693" t="e">
        <f>+#REF!-#REF!</f>
        <v>#REF!</v>
      </c>
      <c r="H171" s="734"/>
    </row>
    <row r="172" spans="1:8" ht="16.5" customHeight="1">
      <c r="A172" s="550" t="s">
        <v>169</v>
      </c>
      <c r="B172" s="551" t="s">
        <v>552</v>
      </c>
      <c r="C172" s="680">
        <v>2</v>
      </c>
      <c r="G172" s="693" t="e">
        <f>+#REF!-#REF!</f>
        <v>#REF!</v>
      </c>
      <c r="H172" s="734"/>
    </row>
    <row r="173" spans="1:8" ht="16.5" hidden="1" customHeight="1">
      <c r="A173" s="550" t="s">
        <v>170</v>
      </c>
      <c r="B173" s="551" t="s">
        <v>551</v>
      </c>
      <c r="C173" s="680">
        <v>0</v>
      </c>
      <c r="G173" s="693" t="e">
        <f>+#REF!-#REF!</f>
        <v>#REF!</v>
      </c>
      <c r="H173" s="734"/>
    </row>
    <row r="174" spans="1:8" ht="16.5" customHeight="1">
      <c r="A174" s="550" t="s">
        <v>171</v>
      </c>
      <c r="B174" s="551" t="s">
        <v>16</v>
      </c>
      <c r="C174" s="680">
        <v>4</v>
      </c>
      <c r="G174" s="693" t="e">
        <f>+#REF!-#REF!</f>
        <v>#REF!</v>
      </c>
      <c r="H174" s="734"/>
    </row>
    <row r="175" spans="1:8" s="552" customFormat="1" ht="30" hidden="1" customHeight="1">
      <c r="A175" s="914" t="s">
        <v>172</v>
      </c>
      <c r="B175" s="915" t="s">
        <v>704</v>
      </c>
      <c r="C175" s="689">
        <v>0</v>
      </c>
      <c r="G175" s="693" t="e">
        <f>+#REF!-#REF!</f>
        <v>#REF!</v>
      </c>
      <c r="H175" s="734"/>
    </row>
    <row r="176" spans="1:8" ht="24" hidden="1" customHeight="1">
      <c r="A176" s="550" t="s">
        <v>173</v>
      </c>
      <c r="B176" s="551" t="s">
        <v>549</v>
      </c>
      <c r="C176" s="680"/>
      <c r="G176" s="693" t="e">
        <f>+#REF!-#REF!</f>
        <v>#REF!</v>
      </c>
      <c r="H176" s="734"/>
    </row>
    <row r="177" spans="1:8" ht="16.5" hidden="1" customHeight="1">
      <c r="A177" s="550" t="s">
        <v>174</v>
      </c>
      <c r="B177" s="551" t="s">
        <v>548</v>
      </c>
      <c r="C177" s="680"/>
      <c r="G177" s="693" t="e">
        <f>+#REF!-#REF!</f>
        <v>#REF!</v>
      </c>
      <c r="H177" s="734"/>
    </row>
    <row r="178" spans="1:8" s="552" customFormat="1" ht="24.95" customHeight="1">
      <c r="A178" s="427"/>
      <c r="B178" s="428" t="s">
        <v>872</v>
      </c>
      <c r="C178" s="920">
        <v>2077.9075000000003</v>
      </c>
      <c r="G178" s="693" t="e">
        <f>+#REF!-#REF!</f>
        <v>#REF!</v>
      </c>
      <c r="H178" s="734"/>
    </row>
    <row r="179" spans="1:8">
      <c r="G179" s="693" t="e">
        <f>+#REF!-#REF!</f>
        <v>#REF!</v>
      </c>
    </row>
  </sheetData>
  <mergeCells count="7">
    <mergeCell ref="A8:C8"/>
    <mergeCell ref="A104:C104"/>
    <mergeCell ref="A2:C2"/>
    <mergeCell ref="A4:C4"/>
    <mergeCell ref="A6:A7"/>
    <mergeCell ref="B6:B7"/>
    <mergeCell ref="C6:C7"/>
  </mergeCells>
  <printOptions horizontalCentered="1"/>
  <pageMargins left="0.6" right="0.25" top="0.25" bottom="0.25" header="0.25" footer="0.15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FF648"/>
  </sheetPr>
  <dimension ref="A1:K77"/>
  <sheetViews>
    <sheetView workbookViewId="0">
      <pane xSplit="1" ySplit="3" topLeftCell="B70" activePane="bottomRight" state="frozen"/>
      <selection pane="topRight" activeCell="B1" sqref="B1"/>
      <selection pane="bottomLeft" activeCell="A4" sqref="A4"/>
      <selection pane="bottomRight" activeCell="J77" sqref="J77"/>
    </sheetView>
  </sheetViews>
  <sheetFormatPr defaultRowHeight="30" customHeight="1"/>
  <cols>
    <col min="2" max="2" width="42.85546875" bestFit="1" customWidth="1"/>
    <col min="3" max="3" width="9.85546875" customWidth="1"/>
    <col min="4" max="4" width="10.42578125" customWidth="1"/>
    <col min="5" max="5" width="14" customWidth="1"/>
    <col min="6" max="6" width="10.28515625" customWidth="1"/>
    <col min="10" max="10" width="9.7109375" customWidth="1"/>
    <col min="11" max="11" width="8" bestFit="1" customWidth="1"/>
  </cols>
  <sheetData>
    <row r="1" spans="1:11" ht="30" customHeight="1">
      <c r="A1" s="1378" t="s">
        <v>1653</v>
      </c>
      <c r="B1" s="1378"/>
      <c r="C1" s="1378"/>
      <c r="D1" s="1378"/>
      <c r="E1" s="1378"/>
      <c r="F1" s="1378"/>
      <c r="G1" s="1378"/>
      <c r="H1" s="1378"/>
      <c r="I1" s="1378"/>
      <c r="J1" s="1378"/>
      <c r="K1" s="1378"/>
    </row>
    <row r="2" spans="1:11" ht="30" customHeight="1">
      <c r="A2" s="1076"/>
      <c r="B2" s="1076"/>
      <c r="C2" s="1077"/>
      <c r="D2" s="1076"/>
      <c r="E2" s="1076"/>
      <c r="F2" s="1076"/>
      <c r="G2" s="1076"/>
      <c r="H2" s="1076"/>
      <c r="I2" s="1076"/>
      <c r="J2" s="1379" t="s">
        <v>296</v>
      </c>
      <c r="K2" s="1379"/>
    </row>
    <row r="3" spans="1:11" ht="45.75" customHeight="1">
      <c r="A3" s="1078" t="s">
        <v>1654</v>
      </c>
      <c r="B3" s="1078" t="s">
        <v>1655</v>
      </c>
      <c r="C3" s="1078" t="s">
        <v>1656</v>
      </c>
      <c r="D3" s="1079" t="s">
        <v>1657</v>
      </c>
      <c r="E3" s="1079" t="s">
        <v>1658</v>
      </c>
      <c r="F3" s="1079" t="s">
        <v>1705</v>
      </c>
      <c r="G3" s="1079" t="s">
        <v>1659</v>
      </c>
      <c r="H3" s="1079" t="s">
        <v>1660</v>
      </c>
      <c r="I3" s="1079" t="s">
        <v>1661</v>
      </c>
      <c r="J3" s="1079" t="s">
        <v>1662</v>
      </c>
      <c r="K3" s="1079" t="s">
        <v>136</v>
      </c>
    </row>
    <row r="4" spans="1:11" ht="30" customHeight="1">
      <c r="A4" s="1080" t="s">
        <v>1663</v>
      </c>
      <c r="B4" s="1380" t="s">
        <v>1664</v>
      </c>
      <c r="C4" s="1380"/>
      <c r="D4" s="1380"/>
      <c r="E4" s="1380"/>
      <c r="F4" s="1380"/>
      <c r="G4" s="1380"/>
      <c r="H4" s="1380"/>
      <c r="I4" s="1380"/>
      <c r="J4" s="1380"/>
      <c r="K4" s="1381"/>
    </row>
    <row r="5" spans="1:11" ht="30" customHeight="1">
      <c r="A5" s="1081">
        <v>1</v>
      </c>
      <c r="B5" s="1082" t="s">
        <v>368</v>
      </c>
      <c r="C5" s="1083"/>
      <c r="D5" s="1084">
        <v>0.1</v>
      </c>
      <c r="E5" s="1084">
        <v>0.05</v>
      </c>
      <c r="F5" s="1084"/>
      <c r="G5" s="1084">
        <v>0.1</v>
      </c>
      <c r="H5" s="1084">
        <v>0.03</v>
      </c>
      <c r="I5" s="1084">
        <v>0.05</v>
      </c>
      <c r="J5" s="1084">
        <v>0.1</v>
      </c>
      <c r="K5" s="1085">
        <f>SUM(C5:J5)</f>
        <v>0.43000000000000005</v>
      </c>
    </row>
    <row r="6" spans="1:11" ht="30" customHeight="1">
      <c r="A6" s="1086">
        <v>2</v>
      </c>
      <c r="B6" s="1087" t="s">
        <v>1665</v>
      </c>
      <c r="C6" s="1083">
        <v>0.05</v>
      </c>
      <c r="D6" s="1088">
        <v>0.03</v>
      </c>
      <c r="E6" s="1088">
        <v>0.05</v>
      </c>
      <c r="F6" s="1088">
        <v>0.1</v>
      </c>
      <c r="G6" s="1088">
        <v>0.1</v>
      </c>
      <c r="H6" s="1088">
        <v>2.5000000000000001E-2</v>
      </c>
      <c r="I6" s="1088">
        <v>0.03</v>
      </c>
      <c r="J6" s="1088">
        <v>0.1</v>
      </c>
      <c r="K6" s="1085">
        <f t="shared" ref="K6:K10" si="0">SUM(C6:J6)</f>
        <v>0.48499999999999999</v>
      </c>
    </row>
    <row r="7" spans="1:11" ht="30" customHeight="1">
      <c r="A7" s="1086">
        <v>3</v>
      </c>
      <c r="B7" s="1087" t="s">
        <v>1666</v>
      </c>
      <c r="C7" s="1083">
        <v>0.15</v>
      </c>
      <c r="D7" s="1024">
        <v>0.13</v>
      </c>
      <c r="E7" s="1024">
        <v>0.09</v>
      </c>
      <c r="F7" s="1088"/>
      <c r="G7" s="1088">
        <v>0.15</v>
      </c>
      <c r="H7" s="1088">
        <v>0.06</v>
      </c>
      <c r="I7" s="1088">
        <v>0.05</v>
      </c>
      <c r="J7" s="1088">
        <v>0.2</v>
      </c>
      <c r="K7" s="1085">
        <f t="shared" si="0"/>
        <v>0.83000000000000007</v>
      </c>
    </row>
    <row r="8" spans="1:11" ht="30" customHeight="1">
      <c r="A8" s="1086">
        <v>4</v>
      </c>
      <c r="B8" s="1087" t="s">
        <v>380</v>
      </c>
      <c r="C8" s="1089"/>
      <c r="D8" s="1090">
        <v>0.05</v>
      </c>
      <c r="E8" s="1090">
        <v>7.4999999999999997E-2</v>
      </c>
      <c r="F8" s="1091"/>
      <c r="G8" s="1090">
        <v>7.4999999999999997E-2</v>
      </c>
      <c r="H8" s="1091">
        <v>0.05</v>
      </c>
      <c r="I8" s="1091">
        <v>0.05</v>
      </c>
      <c r="J8" s="1091">
        <v>0.1</v>
      </c>
      <c r="K8" s="1085">
        <f t="shared" si="0"/>
        <v>0.4</v>
      </c>
    </row>
    <row r="9" spans="1:11" ht="30" customHeight="1">
      <c r="A9" s="1086">
        <v>5</v>
      </c>
      <c r="B9" s="1092" t="s">
        <v>1667</v>
      </c>
      <c r="C9" s="1089"/>
      <c r="D9" s="1093">
        <v>0.05</v>
      </c>
      <c r="E9" s="1093">
        <v>0.05</v>
      </c>
      <c r="F9" s="1094"/>
      <c r="G9" s="1094"/>
      <c r="H9" s="1093">
        <v>0.05</v>
      </c>
      <c r="I9" s="1094">
        <v>0.03</v>
      </c>
      <c r="J9" s="1094">
        <v>0.1</v>
      </c>
      <c r="K9" s="1085">
        <f t="shared" si="0"/>
        <v>0.28000000000000003</v>
      </c>
    </row>
    <row r="10" spans="1:11" ht="30" customHeight="1">
      <c r="A10" s="1086">
        <v>6</v>
      </c>
      <c r="B10" s="1092" t="s">
        <v>388</v>
      </c>
      <c r="C10" s="1095"/>
      <c r="D10" s="1096">
        <v>0.03</v>
      </c>
      <c r="E10" s="1096">
        <v>0.05</v>
      </c>
      <c r="F10" s="1096"/>
      <c r="G10" s="1096">
        <v>2.5000000000000001E-2</v>
      </c>
      <c r="H10" s="1096">
        <v>2.5000000000000001E-2</v>
      </c>
      <c r="I10" s="1096">
        <v>0.03</v>
      </c>
      <c r="J10" s="1096">
        <v>0.1</v>
      </c>
      <c r="K10" s="1085">
        <f t="shared" si="0"/>
        <v>0.26</v>
      </c>
    </row>
    <row r="11" spans="1:11" ht="30" customHeight="1">
      <c r="A11" s="1097" t="s">
        <v>1668</v>
      </c>
      <c r="B11" s="1382" t="s">
        <v>1669</v>
      </c>
      <c r="C11" s="1383"/>
      <c r="D11" s="1383"/>
      <c r="E11" s="1383"/>
      <c r="F11" s="1383"/>
      <c r="G11" s="1383"/>
      <c r="H11" s="1383"/>
      <c r="I11" s="1383"/>
      <c r="J11" s="1383"/>
      <c r="K11" s="1384"/>
    </row>
    <row r="12" spans="1:11" ht="30" customHeight="1">
      <c r="A12" s="1097">
        <v>1</v>
      </c>
      <c r="B12" s="1098" t="s">
        <v>403</v>
      </c>
      <c r="C12" s="1089"/>
      <c r="D12" s="1099">
        <v>0.04</v>
      </c>
      <c r="E12" s="1099">
        <v>0.05</v>
      </c>
      <c r="F12" s="1100"/>
      <c r="G12" s="1100">
        <v>1.4999999999999999E-2</v>
      </c>
      <c r="H12" s="1099">
        <v>2.5000000000000001E-2</v>
      </c>
      <c r="I12" s="1099">
        <v>0.05</v>
      </c>
      <c r="J12" s="1100">
        <v>0.05</v>
      </c>
      <c r="K12" s="1085">
        <f t="shared" ref="K12:K18" si="1">SUM(C12:J12)</f>
        <v>0.22999999999999998</v>
      </c>
    </row>
    <row r="13" spans="1:11" ht="30" customHeight="1">
      <c r="A13" s="1086">
        <v>2</v>
      </c>
      <c r="B13" s="1087" t="s">
        <v>1311</v>
      </c>
      <c r="C13" s="1089"/>
      <c r="D13" s="1099">
        <v>0.03</v>
      </c>
      <c r="E13" s="1099">
        <v>0.05</v>
      </c>
      <c r="F13" s="1100"/>
      <c r="G13" s="1100">
        <v>0.05</v>
      </c>
      <c r="H13" s="1099">
        <v>2.5000000000000001E-2</v>
      </c>
      <c r="I13" s="1099">
        <v>0.05</v>
      </c>
      <c r="J13" s="1100">
        <v>0.06</v>
      </c>
      <c r="K13" s="1085">
        <f t="shared" si="1"/>
        <v>0.26500000000000001</v>
      </c>
    </row>
    <row r="14" spans="1:11" ht="30" customHeight="1">
      <c r="A14" s="1086">
        <v>3</v>
      </c>
      <c r="B14" s="1087" t="s">
        <v>419</v>
      </c>
      <c r="C14" s="1095">
        <v>0.05</v>
      </c>
      <c r="D14" s="1090">
        <v>0.02</v>
      </c>
      <c r="E14" s="1090">
        <v>0.05</v>
      </c>
      <c r="F14" s="1090"/>
      <c r="G14" s="1090"/>
      <c r="H14" s="1090">
        <v>2.5000000000000001E-2</v>
      </c>
      <c r="I14" s="1090">
        <v>0.05</v>
      </c>
      <c r="J14" s="1090">
        <v>0.1</v>
      </c>
      <c r="K14" s="1085">
        <f t="shared" si="1"/>
        <v>0.29500000000000004</v>
      </c>
    </row>
    <row r="15" spans="1:11" ht="30" customHeight="1">
      <c r="A15" s="1086">
        <v>4</v>
      </c>
      <c r="B15" s="1087" t="s">
        <v>1407</v>
      </c>
      <c r="C15" s="1095">
        <v>0.05</v>
      </c>
      <c r="D15" s="1090">
        <v>0.02</v>
      </c>
      <c r="E15" s="1090">
        <v>0.2</v>
      </c>
      <c r="F15" s="1091"/>
      <c r="G15" s="1091">
        <v>0.04</v>
      </c>
      <c r="H15" s="1090">
        <v>0.02</v>
      </c>
      <c r="I15" s="1090">
        <v>0.02</v>
      </c>
      <c r="J15" s="1091">
        <v>0.05</v>
      </c>
      <c r="K15" s="1085">
        <f t="shared" si="1"/>
        <v>0.4</v>
      </c>
    </row>
    <row r="16" spans="1:11" ht="30" customHeight="1">
      <c r="A16" s="1086">
        <v>5</v>
      </c>
      <c r="B16" s="1087" t="s">
        <v>421</v>
      </c>
      <c r="C16" s="1089"/>
      <c r="D16" s="1090">
        <v>0.02</v>
      </c>
      <c r="E16" s="1090">
        <v>0.03</v>
      </c>
      <c r="F16" s="1091"/>
      <c r="G16" s="1091">
        <v>0.03</v>
      </c>
      <c r="H16" s="1090">
        <v>0.03</v>
      </c>
      <c r="I16" s="1090">
        <v>0.02</v>
      </c>
      <c r="J16" s="1090">
        <v>0.05</v>
      </c>
      <c r="K16" s="1085">
        <f t="shared" si="1"/>
        <v>0.18</v>
      </c>
    </row>
    <row r="17" spans="1:11" ht="30" customHeight="1">
      <c r="A17" s="1086">
        <v>6</v>
      </c>
      <c r="B17" s="1087" t="s">
        <v>394</v>
      </c>
      <c r="C17" s="1095"/>
      <c r="D17" s="1091">
        <v>0.03</v>
      </c>
      <c r="E17" s="1090">
        <v>0.02</v>
      </c>
      <c r="F17" s="1091"/>
      <c r="G17" s="1091">
        <v>0.05</v>
      </c>
      <c r="H17" s="1091">
        <v>1.4999999999999999E-2</v>
      </c>
      <c r="I17" s="1091">
        <v>0.03</v>
      </c>
      <c r="J17" s="1091">
        <v>0.05</v>
      </c>
      <c r="K17" s="1085">
        <f t="shared" si="1"/>
        <v>0.19500000000000001</v>
      </c>
    </row>
    <row r="18" spans="1:11" ht="30" customHeight="1">
      <c r="A18" s="1086">
        <v>7</v>
      </c>
      <c r="B18" s="1101" t="s">
        <v>1171</v>
      </c>
      <c r="C18" s="1089">
        <v>0.06</v>
      </c>
      <c r="D18" s="1091">
        <v>0.06</v>
      </c>
      <c r="E18" s="1090">
        <v>0.05</v>
      </c>
      <c r="F18" s="1091"/>
      <c r="G18" s="1091">
        <v>1.4999999999999999E-2</v>
      </c>
      <c r="H18" s="1090">
        <v>0.03</v>
      </c>
      <c r="I18" s="1090">
        <v>0.05</v>
      </c>
      <c r="J18" s="1091">
        <v>0.13500000000000001</v>
      </c>
      <c r="K18" s="1085">
        <f t="shared" si="1"/>
        <v>0.4</v>
      </c>
    </row>
    <row r="19" spans="1:11" ht="30" customHeight="1">
      <c r="A19" s="1097" t="s">
        <v>1670</v>
      </c>
      <c r="B19" s="1382" t="s">
        <v>1671</v>
      </c>
      <c r="C19" s="1383"/>
      <c r="D19" s="1383"/>
      <c r="E19" s="1383"/>
      <c r="F19" s="1383"/>
      <c r="G19" s="1383"/>
      <c r="H19" s="1383"/>
      <c r="I19" s="1383"/>
      <c r="J19" s="1383"/>
      <c r="K19" s="1384"/>
    </row>
    <row r="20" spans="1:11" ht="30" customHeight="1">
      <c r="A20" s="1086">
        <v>1</v>
      </c>
      <c r="B20" s="1082" t="s">
        <v>1325</v>
      </c>
      <c r="C20" s="1095"/>
      <c r="D20" s="1099">
        <v>0.1</v>
      </c>
      <c r="E20" s="1099">
        <v>0.03</v>
      </c>
      <c r="F20" s="1099">
        <v>1</v>
      </c>
      <c r="G20" s="1099">
        <v>0.1</v>
      </c>
      <c r="H20" s="1099">
        <v>0.03</v>
      </c>
      <c r="I20" s="1099">
        <v>0.08</v>
      </c>
      <c r="J20" s="1100">
        <v>0.15</v>
      </c>
      <c r="K20" s="1085">
        <f t="shared" ref="K20:K30" si="2">SUM(C20:J20)</f>
        <v>1.49</v>
      </c>
    </row>
    <row r="21" spans="1:11" ht="30" customHeight="1">
      <c r="A21" s="1086">
        <v>2</v>
      </c>
      <c r="B21" s="1087" t="s">
        <v>1672</v>
      </c>
      <c r="C21" s="1095">
        <v>0.1</v>
      </c>
      <c r="D21" s="1090">
        <v>0.1</v>
      </c>
      <c r="E21" s="1090">
        <v>0.05</v>
      </c>
      <c r="F21" s="1090">
        <v>3</v>
      </c>
      <c r="G21" s="1090">
        <v>0.2</v>
      </c>
      <c r="H21" s="1090">
        <v>0.03</v>
      </c>
      <c r="I21" s="1090">
        <v>0.5</v>
      </c>
      <c r="J21" s="1090">
        <v>0.2</v>
      </c>
      <c r="K21" s="1085">
        <f t="shared" si="2"/>
        <v>4.18</v>
      </c>
    </row>
    <row r="22" spans="1:11" ht="30" customHeight="1">
      <c r="A22" s="1086">
        <v>3</v>
      </c>
      <c r="B22" s="1087" t="s">
        <v>1673</v>
      </c>
      <c r="C22" s="1095"/>
      <c r="D22" s="1090">
        <v>0.1</v>
      </c>
      <c r="E22" s="1090">
        <v>0.1</v>
      </c>
      <c r="F22" s="1090">
        <v>0.1</v>
      </c>
      <c r="G22" s="1090">
        <v>0.17</v>
      </c>
      <c r="H22" s="1090">
        <v>0.03</v>
      </c>
      <c r="I22" s="1090">
        <v>0.15</v>
      </c>
      <c r="J22" s="1090">
        <v>0.2</v>
      </c>
      <c r="K22" s="1085">
        <f t="shared" si="2"/>
        <v>0.85000000000000009</v>
      </c>
    </row>
    <row r="23" spans="1:11" ht="30" customHeight="1">
      <c r="A23" s="1086">
        <v>4</v>
      </c>
      <c r="B23" s="1087" t="s">
        <v>1674</v>
      </c>
      <c r="C23" s="1095"/>
      <c r="D23" s="1090">
        <v>0.03</v>
      </c>
      <c r="E23" s="1090">
        <v>0.05</v>
      </c>
      <c r="F23" s="1090">
        <v>0.3</v>
      </c>
      <c r="G23" s="1090">
        <v>0.05</v>
      </c>
      <c r="H23" s="1090">
        <v>2.5000000000000001E-2</v>
      </c>
      <c r="I23" s="1090">
        <v>0.05</v>
      </c>
      <c r="J23" s="1090">
        <v>0.1</v>
      </c>
      <c r="K23" s="1085">
        <f t="shared" si="2"/>
        <v>0.60499999999999998</v>
      </c>
    </row>
    <row r="24" spans="1:11" ht="30" customHeight="1">
      <c r="A24" s="1086">
        <v>5</v>
      </c>
      <c r="B24" s="1087" t="s">
        <v>1074</v>
      </c>
      <c r="C24" s="1095">
        <v>0.2</v>
      </c>
      <c r="D24" s="1091">
        <v>0.08</v>
      </c>
      <c r="E24" s="1090">
        <v>0.05</v>
      </c>
      <c r="F24" s="1090">
        <v>0.8</v>
      </c>
      <c r="G24" s="1091">
        <v>0.15</v>
      </c>
      <c r="H24" s="1090">
        <v>0.03</v>
      </c>
      <c r="I24" s="1090">
        <v>0.1</v>
      </c>
      <c r="J24" s="1091">
        <v>0.25</v>
      </c>
      <c r="K24" s="1085">
        <f t="shared" si="2"/>
        <v>1.6600000000000001</v>
      </c>
    </row>
    <row r="25" spans="1:11" ht="30" customHeight="1">
      <c r="A25" s="1086">
        <v>6</v>
      </c>
      <c r="B25" s="1087" t="s">
        <v>410</v>
      </c>
      <c r="C25" s="1095">
        <v>0.1</v>
      </c>
      <c r="D25" s="1091">
        <v>0.1</v>
      </c>
      <c r="E25" s="1090">
        <v>0.06</v>
      </c>
      <c r="F25" s="1090">
        <v>0.15</v>
      </c>
      <c r="G25" s="1091">
        <v>0.15</v>
      </c>
      <c r="H25" s="1090">
        <v>0.03</v>
      </c>
      <c r="I25" s="1090">
        <v>0.1</v>
      </c>
      <c r="J25" s="1091">
        <v>0.2</v>
      </c>
      <c r="K25" s="1085">
        <f t="shared" si="2"/>
        <v>0.89000000000000012</v>
      </c>
    </row>
    <row r="26" spans="1:11" ht="30" customHeight="1">
      <c r="A26" s="1086">
        <v>7</v>
      </c>
      <c r="B26" s="1087" t="s">
        <v>409</v>
      </c>
      <c r="C26" s="1095">
        <v>0.1</v>
      </c>
      <c r="D26" s="1090">
        <v>0.06</v>
      </c>
      <c r="E26" s="1090">
        <v>0.05</v>
      </c>
      <c r="F26" s="1090">
        <v>0.2</v>
      </c>
      <c r="G26" s="1090">
        <v>0.05</v>
      </c>
      <c r="H26" s="1090">
        <v>0.03</v>
      </c>
      <c r="I26" s="1090">
        <v>0.06</v>
      </c>
      <c r="J26" s="1090">
        <v>0.2</v>
      </c>
      <c r="K26" s="1085">
        <f t="shared" si="2"/>
        <v>0.75</v>
      </c>
    </row>
    <row r="27" spans="1:11" ht="30" customHeight="1">
      <c r="A27" s="1086">
        <v>8</v>
      </c>
      <c r="B27" s="1087" t="s">
        <v>1409</v>
      </c>
      <c r="C27" s="1095">
        <v>0.14000000000000001</v>
      </c>
      <c r="D27" s="1090">
        <v>0.3</v>
      </c>
      <c r="E27" s="1090">
        <v>0.05</v>
      </c>
      <c r="F27" s="1090">
        <v>6</v>
      </c>
      <c r="G27" s="1090">
        <v>0.3</v>
      </c>
      <c r="H27" s="1090">
        <v>0.03</v>
      </c>
      <c r="I27" s="1090">
        <v>0.3</v>
      </c>
      <c r="J27" s="1090">
        <v>0.4</v>
      </c>
      <c r="K27" s="1085">
        <f t="shared" si="2"/>
        <v>7.5200000000000005</v>
      </c>
    </row>
    <row r="28" spans="1:11" ht="30" customHeight="1">
      <c r="A28" s="1086">
        <v>9</v>
      </c>
      <c r="B28" s="1087" t="s">
        <v>434</v>
      </c>
      <c r="C28" s="1095">
        <v>0.25</v>
      </c>
      <c r="D28" s="1091">
        <v>0.2</v>
      </c>
      <c r="E28" s="1090">
        <v>0.1</v>
      </c>
      <c r="F28" s="1090">
        <v>4</v>
      </c>
      <c r="G28" s="1090">
        <v>0.2</v>
      </c>
      <c r="H28" s="1090">
        <v>0.03</v>
      </c>
      <c r="I28" s="1090">
        <v>0.5</v>
      </c>
      <c r="J28" s="1091">
        <v>0.4</v>
      </c>
      <c r="K28" s="1085">
        <f t="shared" si="2"/>
        <v>5.6800000000000006</v>
      </c>
    </row>
    <row r="29" spans="1:11" ht="30" customHeight="1">
      <c r="A29" s="1086">
        <v>10</v>
      </c>
      <c r="B29" s="1087" t="s">
        <v>1331</v>
      </c>
      <c r="C29" s="1095"/>
      <c r="D29" s="1090">
        <v>0.05</v>
      </c>
      <c r="E29" s="1090">
        <v>0.05</v>
      </c>
      <c r="F29" s="1091">
        <v>0.1</v>
      </c>
      <c r="G29" s="1091">
        <v>0.15</v>
      </c>
      <c r="H29" s="1090">
        <v>0.03</v>
      </c>
      <c r="I29" s="1090">
        <v>0.1</v>
      </c>
      <c r="J29" s="1091">
        <v>0.1</v>
      </c>
      <c r="K29" s="1085">
        <f t="shared" si="2"/>
        <v>0.57999999999999996</v>
      </c>
    </row>
    <row r="30" spans="1:11" ht="30" customHeight="1">
      <c r="A30" s="1086">
        <v>11</v>
      </c>
      <c r="B30" s="1092" t="s">
        <v>438</v>
      </c>
      <c r="C30" s="1089">
        <v>0.1</v>
      </c>
      <c r="D30" s="1096">
        <v>0.1</v>
      </c>
      <c r="E30" s="1096">
        <v>0.05</v>
      </c>
      <c r="F30" s="1096">
        <v>0.6</v>
      </c>
      <c r="G30" s="1096">
        <v>0.26</v>
      </c>
      <c r="H30" s="1102">
        <v>2.5000000000000001E-2</v>
      </c>
      <c r="I30" s="1102">
        <v>0.3</v>
      </c>
      <c r="J30" s="1102">
        <v>0.25</v>
      </c>
      <c r="K30" s="1085">
        <f t="shared" si="2"/>
        <v>1.6849999999999998</v>
      </c>
    </row>
    <row r="31" spans="1:11" ht="30" customHeight="1">
      <c r="A31" s="1097" t="s">
        <v>1675</v>
      </c>
      <c r="B31" s="1375" t="s">
        <v>1475</v>
      </c>
      <c r="C31" s="1376"/>
      <c r="D31" s="1376"/>
      <c r="E31" s="1376"/>
      <c r="F31" s="1376"/>
      <c r="G31" s="1376"/>
      <c r="H31" s="1376"/>
      <c r="I31" s="1376"/>
      <c r="J31" s="1376"/>
      <c r="K31" s="1377"/>
    </row>
    <row r="32" spans="1:11" ht="30" customHeight="1">
      <c r="A32" s="1086">
        <v>1</v>
      </c>
      <c r="B32" s="1082" t="s">
        <v>1473</v>
      </c>
      <c r="C32" s="1095">
        <v>0.5</v>
      </c>
      <c r="D32" s="1100">
        <v>0.2</v>
      </c>
      <c r="E32" s="1099">
        <v>0.1</v>
      </c>
      <c r="F32" s="1100">
        <v>0.41099999999999998</v>
      </c>
      <c r="G32" s="1100">
        <v>0.2</v>
      </c>
      <c r="H32" s="1099">
        <v>0.06</v>
      </c>
      <c r="I32" s="1099">
        <v>0.15</v>
      </c>
      <c r="J32" s="1100">
        <v>0.3</v>
      </c>
      <c r="K32" s="1085">
        <f t="shared" ref="K32:K36" si="3">SUM(C32:J32)</f>
        <v>1.9209999999999998</v>
      </c>
    </row>
    <row r="33" spans="1:11" ht="30" customHeight="1">
      <c r="A33" s="1086">
        <v>2</v>
      </c>
      <c r="B33" s="1087" t="s">
        <v>1474</v>
      </c>
      <c r="C33" s="1095">
        <v>0.3</v>
      </c>
      <c r="D33" s="1090">
        <v>0.2</v>
      </c>
      <c r="E33" s="1090">
        <v>0.1</v>
      </c>
      <c r="F33" s="1091"/>
      <c r="G33" s="1091">
        <v>0.2</v>
      </c>
      <c r="H33" s="1090">
        <v>0.05</v>
      </c>
      <c r="I33" s="1090">
        <v>0.15</v>
      </c>
      <c r="J33" s="1091">
        <v>0.4</v>
      </c>
      <c r="K33" s="1085">
        <f t="shared" si="3"/>
        <v>1.4</v>
      </c>
    </row>
    <row r="34" spans="1:11" ht="30" customHeight="1">
      <c r="A34" s="1086">
        <v>3</v>
      </c>
      <c r="B34" s="1087" t="s">
        <v>1676</v>
      </c>
      <c r="C34" s="1095">
        <v>0.05</v>
      </c>
      <c r="D34" s="1090"/>
      <c r="E34" s="1090">
        <v>0.02</v>
      </c>
      <c r="F34" s="1091"/>
      <c r="G34" s="1091">
        <v>0.08</v>
      </c>
      <c r="H34" s="1090">
        <v>0.03</v>
      </c>
      <c r="I34" s="1090">
        <v>0.05</v>
      </c>
      <c r="J34" s="1091">
        <v>0.1</v>
      </c>
      <c r="K34" s="1085">
        <f t="shared" si="3"/>
        <v>0.33000000000000007</v>
      </c>
    </row>
    <row r="35" spans="1:11" ht="30" customHeight="1">
      <c r="A35" s="1086">
        <v>4</v>
      </c>
      <c r="B35" s="1087" t="s">
        <v>1677</v>
      </c>
      <c r="C35" s="1095"/>
      <c r="D35" s="1090">
        <v>0.03</v>
      </c>
      <c r="E35" s="1090">
        <v>0.02</v>
      </c>
      <c r="F35" s="1091"/>
      <c r="G35" s="1091">
        <v>0.1</v>
      </c>
      <c r="H35" s="1091">
        <v>2.5000000000000001E-2</v>
      </c>
      <c r="I35" s="1091">
        <v>0.05</v>
      </c>
      <c r="J35" s="1091">
        <v>0.1</v>
      </c>
      <c r="K35" s="1085">
        <f t="shared" si="3"/>
        <v>0.32500000000000007</v>
      </c>
    </row>
    <row r="36" spans="1:11" ht="30" customHeight="1">
      <c r="A36" s="1097">
        <v>5</v>
      </c>
      <c r="B36" s="1101" t="s">
        <v>1471</v>
      </c>
      <c r="C36" s="1095">
        <v>0.2</v>
      </c>
      <c r="D36" s="1090">
        <v>0.05</v>
      </c>
      <c r="E36" s="1090">
        <v>0.04</v>
      </c>
      <c r="F36" s="1091"/>
      <c r="G36" s="1091">
        <v>7.0000000000000007E-2</v>
      </c>
      <c r="H36" s="1090">
        <v>0.03</v>
      </c>
      <c r="I36" s="1090">
        <v>0.05</v>
      </c>
      <c r="J36" s="1091">
        <v>0.13</v>
      </c>
      <c r="K36" s="1085">
        <f t="shared" si="3"/>
        <v>0.57000000000000006</v>
      </c>
    </row>
    <row r="37" spans="1:11" ht="30" customHeight="1">
      <c r="A37" s="1097" t="s">
        <v>1678</v>
      </c>
      <c r="B37" s="1103" t="s">
        <v>1679</v>
      </c>
      <c r="C37" s="1104"/>
      <c r="D37" s="1104"/>
      <c r="E37" s="1104"/>
      <c r="F37" s="1104"/>
      <c r="G37" s="1104"/>
      <c r="H37" s="1104"/>
      <c r="I37" s="1104"/>
      <c r="J37" s="1104"/>
      <c r="K37" s="1088">
        <v>0</v>
      </c>
    </row>
    <row r="38" spans="1:11" ht="30" customHeight="1">
      <c r="A38" s="1086">
        <v>1</v>
      </c>
      <c r="B38" s="1082" t="s">
        <v>1319</v>
      </c>
      <c r="C38" s="1095">
        <v>0.3</v>
      </c>
      <c r="D38" s="1099">
        <v>0.3</v>
      </c>
      <c r="E38" s="1099">
        <v>0.15</v>
      </c>
      <c r="F38" s="1099"/>
      <c r="G38" s="1099">
        <v>0.3</v>
      </c>
      <c r="H38" s="1099">
        <v>0.15</v>
      </c>
      <c r="I38" s="1099">
        <v>0.15</v>
      </c>
      <c r="J38" s="1099">
        <v>0.3</v>
      </c>
      <c r="K38" s="1085">
        <f t="shared" ref="K38:K42" si="4">SUM(C38:J38)</f>
        <v>1.65</v>
      </c>
    </row>
    <row r="39" spans="1:11" ht="30" customHeight="1">
      <c r="A39" s="1086">
        <v>2</v>
      </c>
      <c r="B39" s="1087" t="s">
        <v>1320</v>
      </c>
      <c r="C39" s="1095"/>
      <c r="D39" s="1090">
        <v>0.1</v>
      </c>
      <c r="E39" s="1090">
        <v>0.05</v>
      </c>
      <c r="F39" s="1090"/>
      <c r="G39" s="1090">
        <v>0.15</v>
      </c>
      <c r="H39" s="1090">
        <v>0.03</v>
      </c>
      <c r="I39" s="1090">
        <v>0.1</v>
      </c>
      <c r="J39" s="1090">
        <v>0.15</v>
      </c>
      <c r="K39" s="1085">
        <f t="shared" si="4"/>
        <v>0.58000000000000007</v>
      </c>
    </row>
    <row r="40" spans="1:11" ht="30" customHeight="1">
      <c r="A40" s="1086">
        <v>3</v>
      </c>
      <c r="B40" s="1087" t="s">
        <v>412</v>
      </c>
      <c r="C40" s="1095"/>
      <c r="D40" s="1090">
        <v>0.1</v>
      </c>
      <c r="E40" s="1090">
        <v>0.02</v>
      </c>
      <c r="F40" s="1090"/>
      <c r="G40" s="1090">
        <v>2.5000000000000001E-2</v>
      </c>
      <c r="H40" s="1090">
        <v>1.4999999999999999E-2</v>
      </c>
      <c r="I40" s="1090">
        <v>0.05</v>
      </c>
      <c r="J40" s="1090">
        <v>0.1</v>
      </c>
      <c r="K40" s="1085">
        <f t="shared" si="4"/>
        <v>0.31000000000000005</v>
      </c>
    </row>
    <row r="41" spans="1:11" ht="30" customHeight="1">
      <c r="A41" s="1105">
        <v>4</v>
      </c>
      <c r="B41" s="1087" t="s">
        <v>417</v>
      </c>
      <c r="C41" s="1095">
        <v>0.1</v>
      </c>
      <c r="D41" s="1090">
        <v>0.06</v>
      </c>
      <c r="E41" s="1090">
        <v>0.05</v>
      </c>
      <c r="F41" s="1090">
        <v>0.5</v>
      </c>
      <c r="G41" s="1090">
        <v>0.15</v>
      </c>
      <c r="H41" s="1090">
        <v>2.5000000000000001E-2</v>
      </c>
      <c r="I41" s="1090">
        <v>0.05</v>
      </c>
      <c r="J41" s="1090">
        <v>0.15</v>
      </c>
      <c r="K41" s="1085">
        <f t="shared" si="4"/>
        <v>1.085</v>
      </c>
    </row>
    <row r="42" spans="1:11" ht="30" customHeight="1">
      <c r="A42" s="1097">
        <v>5</v>
      </c>
      <c r="B42" s="1092" t="s">
        <v>423</v>
      </c>
      <c r="C42" s="1095">
        <v>7.4999999999999997E-2</v>
      </c>
      <c r="D42" s="1096">
        <v>0.06</v>
      </c>
      <c r="E42" s="1096">
        <v>0.03</v>
      </c>
      <c r="F42" s="1096"/>
      <c r="G42" s="1096">
        <v>0.15</v>
      </c>
      <c r="H42" s="1096">
        <v>2.5000000000000001E-2</v>
      </c>
      <c r="I42" s="1096">
        <v>0.05</v>
      </c>
      <c r="J42" s="1096">
        <v>0.1</v>
      </c>
      <c r="K42" s="1085">
        <f t="shared" si="4"/>
        <v>0.49</v>
      </c>
    </row>
    <row r="43" spans="1:11" ht="30" customHeight="1">
      <c r="A43" s="1097" t="s">
        <v>1680</v>
      </c>
      <c r="B43" s="1103" t="s">
        <v>1681</v>
      </c>
      <c r="C43" s="1104"/>
      <c r="D43" s="1104"/>
      <c r="E43" s="1104"/>
      <c r="F43" s="1104"/>
      <c r="G43" s="1104"/>
      <c r="H43" s="1104"/>
      <c r="I43" s="1104"/>
      <c r="J43" s="1104"/>
      <c r="K43" s="1088">
        <v>0</v>
      </c>
    </row>
    <row r="44" spans="1:11" ht="30" customHeight="1">
      <c r="A44" s="1086">
        <v>1</v>
      </c>
      <c r="B44" s="1106" t="s">
        <v>372</v>
      </c>
      <c r="C44" s="1107"/>
      <c r="D44" s="1107">
        <v>0.1</v>
      </c>
      <c r="E44" s="1107">
        <v>0.08</v>
      </c>
      <c r="F44" s="1107"/>
      <c r="G44" s="1107"/>
      <c r="H44" s="1107">
        <v>0.05</v>
      </c>
      <c r="I44" s="1107">
        <v>0.05</v>
      </c>
      <c r="J44" s="1107">
        <v>0.1</v>
      </c>
      <c r="K44" s="1085">
        <f t="shared" ref="K44:K56" si="5">SUM(C44:J44)</f>
        <v>0.38</v>
      </c>
    </row>
    <row r="45" spans="1:11" ht="30" customHeight="1">
      <c r="A45" s="1086">
        <v>2</v>
      </c>
      <c r="B45" s="1108" t="s">
        <v>376</v>
      </c>
      <c r="C45" s="1109">
        <v>0.1</v>
      </c>
      <c r="D45" s="1099">
        <v>0.18</v>
      </c>
      <c r="E45" s="1099">
        <v>0.05</v>
      </c>
      <c r="F45" s="1100"/>
      <c r="G45" s="1099">
        <v>0.15</v>
      </c>
      <c r="H45" s="1099">
        <v>0.03</v>
      </c>
      <c r="I45" s="1099">
        <v>0.05</v>
      </c>
      <c r="J45" s="1100">
        <v>0.15</v>
      </c>
      <c r="K45" s="1085">
        <f t="shared" si="5"/>
        <v>0.71000000000000008</v>
      </c>
    </row>
    <row r="46" spans="1:11" ht="30" customHeight="1">
      <c r="A46" s="1086">
        <v>3</v>
      </c>
      <c r="B46" s="1087" t="s">
        <v>1485</v>
      </c>
      <c r="C46" s="1095">
        <v>0.15</v>
      </c>
      <c r="D46" s="1090">
        <v>0.05</v>
      </c>
      <c r="E46" s="1090">
        <v>0.15</v>
      </c>
      <c r="F46" s="1091"/>
      <c r="G46" s="1091">
        <v>0.2</v>
      </c>
      <c r="H46" s="1090">
        <v>0.03</v>
      </c>
      <c r="I46" s="1090">
        <v>0.05</v>
      </c>
      <c r="J46" s="1091">
        <v>0.15</v>
      </c>
      <c r="K46" s="1085">
        <f t="shared" si="5"/>
        <v>0.78000000000000014</v>
      </c>
    </row>
    <row r="47" spans="1:11" ht="30" customHeight="1">
      <c r="A47" s="1086">
        <v>4</v>
      </c>
      <c r="B47" s="1110" t="s">
        <v>1490</v>
      </c>
      <c r="C47" s="1095">
        <v>0.1</v>
      </c>
      <c r="D47" s="1090">
        <v>7.0000000000000007E-2</v>
      </c>
      <c r="E47" s="1090">
        <v>0.2</v>
      </c>
      <c r="F47" s="1091"/>
      <c r="G47" s="1091">
        <v>0.1</v>
      </c>
      <c r="H47" s="1091">
        <v>0.03</v>
      </c>
      <c r="I47" s="1091">
        <v>0.05</v>
      </c>
      <c r="J47" s="1091">
        <v>0.15</v>
      </c>
      <c r="K47" s="1085">
        <f t="shared" si="5"/>
        <v>0.70000000000000007</v>
      </c>
    </row>
    <row r="48" spans="1:11" ht="30" customHeight="1">
      <c r="A48" s="1086">
        <v>5</v>
      </c>
      <c r="B48" s="1087" t="s">
        <v>383</v>
      </c>
      <c r="C48" s="1095"/>
      <c r="D48" s="1090">
        <v>0.06</v>
      </c>
      <c r="E48" s="1090">
        <v>0.04</v>
      </c>
      <c r="F48" s="1091"/>
      <c r="G48" s="1091">
        <v>0.1</v>
      </c>
      <c r="H48" s="1091">
        <v>0.04</v>
      </c>
      <c r="I48" s="1091">
        <v>0.05</v>
      </c>
      <c r="J48" s="1091">
        <v>0.1</v>
      </c>
      <c r="K48" s="1085">
        <f t="shared" si="5"/>
        <v>0.39</v>
      </c>
    </row>
    <row r="49" spans="1:11" ht="30" customHeight="1">
      <c r="A49" s="1086">
        <v>6</v>
      </c>
      <c r="B49" s="1087" t="s">
        <v>379</v>
      </c>
      <c r="C49" s="1095"/>
      <c r="D49" s="1090">
        <v>0.05</v>
      </c>
      <c r="E49" s="1090">
        <v>7.0000000000000007E-2</v>
      </c>
      <c r="F49" s="1090"/>
      <c r="G49" s="1090">
        <v>0.05</v>
      </c>
      <c r="H49" s="1090">
        <v>0.03</v>
      </c>
      <c r="I49" s="1090">
        <v>0.05</v>
      </c>
      <c r="J49" s="1090">
        <v>0.1</v>
      </c>
      <c r="K49" s="1085">
        <f t="shared" si="5"/>
        <v>0.35</v>
      </c>
    </row>
    <row r="50" spans="1:11" ht="30" customHeight="1">
      <c r="A50" s="1086">
        <v>7</v>
      </c>
      <c r="B50" s="1087" t="s">
        <v>1488</v>
      </c>
      <c r="C50" s="1095">
        <v>0.1</v>
      </c>
      <c r="D50" s="1090">
        <v>0.1</v>
      </c>
      <c r="E50" s="1090">
        <v>0.1</v>
      </c>
      <c r="F50" s="1091"/>
      <c r="G50" s="1091">
        <v>0.1</v>
      </c>
      <c r="H50" s="1090">
        <v>0.03</v>
      </c>
      <c r="I50" s="1090">
        <v>0.05</v>
      </c>
      <c r="J50" s="1091">
        <v>0.15</v>
      </c>
      <c r="K50" s="1085">
        <f t="shared" si="5"/>
        <v>0.63</v>
      </c>
    </row>
    <row r="51" spans="1:11" ht="30" customHeight="1">
      <c r="A51" s="1086">
        <v>8</v>
      </c>
      <c r="B51" s="1087" t="s">
        <v>390</v>
      </c>
      <c r="C51" s="1095">
        <v>0.1</v>
      </c>
      <c r="D51" s="1090">
        <v>0.08</v>
      </c>
      <c r="E51" s="1090">
        <v>0.05</v>
      </c>
      <c r="F51" s="1091"/>
      <c r="G51" s="1091">
        <v>0.1</v>
      </c>
      <c r="H51" s="1090">
        <v>0.03</v>
      </c>
      <c r="I51" s="1090"/>
      <c r="J51" s="1091">
        <v>0.2</v>
      </c>
      <c r="K51" s="1085">
        <f t="shared" si="5"/>
        <v>0.56000000000000005</v>
      </c>
    </row>
    <row r="52" spans="1:11" ht="30" customHeight="1">
      <c r="A52" s="1086">
        <v>9</v>
      </c>
      <c r="B52" s="1087" t="s">
        <v>391</v>
      </c>
      <c r="C52" s="1095">
        <v>0.1</v>
      </c>
      <c r="D52" s="1090">
        <v>0.1</v>
      </c>
      <c r="E52" s="1090">
        <v>0.05</v>
      </c>
      <c r="F52" s="1091">
        <v>0.2</v>
      </c>
      <c r="G52" s="1091">
        <v>0.2</v>
      </c>
      <c r="H52" s="1090">
        <v>0.03</v>
      </c>
      <c r="I52" s="1090">
        <v>0.3</v>
      </c>
      <c r="J52" s="1091">
        <v>0.2</v>
      </c>
      <c r="K52" s="1085">
        <f t="shared" si="5"/>
        <v>1.18</v>
      </c>
    </row>
    <row r="53" spans="1:11" ht="30" customHeight="1">
      <c r="A53" s="1086">
        <v>10</v>
      </c>
      <c r="B53" s="1087" t="s">
        <v>1122</v>
      </c>
      <c r="C53" s="1095">
        <v>0.05</v>
      </c>
      <c r="D53" s="1091">
        <v>0.05</v>
      </c>
      <c r="E53" s="1090">
        <v>0.05</v>
      </c>
      <c r="F53" s="1091"/>
      <c r="G53" s="1090">
        <v>0.1</v>
      </c>
      <c r="H53" s="1090">
        <v>0.03</v>
      </c>
      <c r="I53" s="1090">
        <v>0.05</v>
      </c>
      <c r="J53" s="1091">
        <v>0.1</v>
      </c>
      <c r="K53" s="1085">
        <f t="shared" si="5"/>
        <v>0.43000000000000005</v>
      </c>
    </row>
    <row r="54" spans="1:11" ht="30" customHeight="1">
      <c r="A54" s="1086">
        <v>11</v>
      </c>
      <c r="B54" s="1111" t="s">
        <v>1682</v>
      </c>
      <c r="C54" s="1090"/>
      <c r="D54" s="1090">
        <v>0.03</v>
      </c>
      <c r="E54" s="1090">
        <v>0.05</v>
      </c>
      <c r="F54" s="1090"/>
      <c r="G54" s="1090">
        <v>0.1</v>
      </c>
      <c r="H54" s="1090">
        <v>2.5000000000000001E-2</v>
      </c>
      <c r="I54" s="1090">
        <v>0.05</v>
      </c>
      <c r="J54" s="1090">
        <v>0.1</v>
      </c>
      <c r="K54" s="1085">
        <f t="shared" si="5"/>
        <v>0.35499999999999998</v>
      </c>
    </row>
    <row r="55" spans="1:11" ht="30" customHeight="1">
      <c r="A55" s="1086">
        <v>12</v>
      </c>
      <c r="B55" s="1087" t="s">
        <v>1316</v>
      </c>
      <c r="C55" s="1095"/>
      <c r="D55" s="1090">
        <v>0.06</v>
      </c>
      <c r="E55" s="1090">
        <v>0.05</v>
      </c>
      <c r="F55" s="1090"/>
      <c r="G55" s="1090">
        <v>0.1</v>
      </c>
      <c r="H55" s="1090">
        <v>0.03</v>
      </c>
      <c r="I55" s="1090">
        <v>0.05</v>
      </c>
      <c r="J55" s="1090">
        <v>0.1</v>
      </c>
      <c r="K55" s="1085">
        <f t="shared" si="5"/>
        <v>0.39</v>
      </c>
    </row>
    <row r="56" spans="1:11" ht="30" customHeight="1">
      <c r="A56" s="1112">
        <v>13</v>
      </c>
      <c r="B56" s="1101" t="s">
        <v>396</v>
      </c>
      <c r="C56" s="1095"/>
      <c r="D56" s="1090">
        <v>0.06</v>
      </c>
      <c r="E56" s="1090">
        <v>5.0000000000000001E-3</v>
      </c>
      <c r="F56" s="1090"/>
      <c r="G56" s="1090">
        <v>0.1</v>
      </c>
      <c r="H56" s="1090">
        <v>2.5000000000000001E-2</v>
      </c>
      <c r="I56" s="1090">
        <v>0.05</v>
      </c>
      <c r="J56" s="1090">
        <v>0.1</v>
      </c>
      <c r="K56" s="1085">
        <f t="shared" si="5"/>
        <v>0.33999999999999997</v>
      </c>
    </row>
    <row r="57" spans="1:11" ht="30" customHeight="1">
      <c r="A57" s="1113"/>
      <c r="B57" s="1114"/>
      <c r="C57" s="1115"/>
      <c r="D57" s="1116"/>
      <c r="E57" s="1116"/>
      <c r="F57" s="1116"/>
      <c r="G57" s="1116"/>
      <c r="H57" s="1116"/>
      <c r="I57" s="1116"/>
      <c r="J57" s="1116"/>
      <c r="K57" s="1117"/>
    </row>
    <row r="58" spans="1:11" ht="30" customHeight="1">
      <c r="A58" s="1118" t="s">
        <v>1683</v>
      </c>
      <c r="B58" s="1119" t="s">
        <v>1684</v>
      </c>
      <c r="C58" s="1120"/>
      <c r="D58" s="1121"/>
      <c r="E58" s="1121"/>
      <c r="F58" s="1121"/>
      <c r="G58" s="1121"/>
      <c r="H58" s="1121"/>
      <c r="I58" s="1121"/>
      <c r="J58" s="1121"/>
      <c r="K58" s="1084">
        <v>0</v>
      </c>
    </row>
    <row r="59" spans="1:11" ht="30" customHeight="1">
      <c r="A59" s="1122">
        <v>1</v>
      </c>
      <c r="B59" s="1123" t="s">
        <v>1685</v>
      </c>
      <c r="C59" s="1088">
        <v>0.2</v>
      </c>
      <c r="D59" s="1088">
        <v>0.03</v>
      </c>
      <c r="E59" s="1088">
        <v>0</v>
      </c>
      <c r="F59" s="1088">
        <v>0.08</v>
      </c>
      <c r="G59" s="1088">
        <v>0.22</v>
      </c>
      <c r="H59" s="1088">
        <v>0.02</v>
      </c>
      <c r="I59" s="1088">
        <v>0.15</v>
      </c>
      <c r="J59" s="1088">
        <v>0.1</v>
      </c>
      <c r="K59" s="1085">
        <f t="shared" ref="K59:K60" si="6">SUM(C59:J59)</f>
        <v>0.8</v>
      </c>
    </row>
    <row r="60" spans="1:11" ht="30" customHeight="1">
      <c r="A60" s="1124">
        <v>2</v>
      </c>
      <c r="B60" s="1110" t="s">
        <v>1686</v>
      </c>
      <c r="C60" s="1088">
        <v>0.2</v>
      </c>
      <c r="D60" s="1088">
        <v>0.03</v>
      </c>
      <c r="E60" s="1088">
        <v>0</v>
      </c>
      <c r="F60" s="1088">
        <v>0.08</v>
      </c>
      <c r="G60" s="1088">
        <v>0.22</v>
      </c>
      <c r="H60" s="1088">
        <v>0.02</v>
      </c>
      <c r="I60" s="1088">
        <v>0.15</v>
      </c>
      <c r="J60" s="1088">
        <v>0.1</v>
      </c>
      <c r="K60" s="1085">
        <f t="shared" si="6"/>
        <v>0.8</v>
      </c>
    </row>
    <row r="61" spans="1:11" ht="30" customHeight="1">
      <c r="A61" s="1097" t="s">
        <v>1687</v>
      </c>
      <c r="B61" s="1125" t="s">
        <v>1688</v>
      </c>
      <c r="C61" s="1126"/>
      <c r="D61" s="1126"/>
      <c r="E61" s="1126"/>
      <c r="F61" s="1126"/>
      <c r="G61" s="1126"/>
      <c r="H61" s="1126"/>
      <c r="I61" s="1126"/>
      <c r="J61" s="1126"/>
      <c r="K61" s="1088">
        <v>0</v>
      </c>
    </row>
    <row r="62" spans="1:11" ht="30" customHeight="1">
      <c r="A62" s="1086">
        <v>1</v>
      </c>
      <c r="B62" s="1082" t="s">
        <v>1430</v>
      </c>
      <c r="C62" s="1127">
        <v>0.8</v>
      </c>
      <c r="D62" s="1128">
        <v>0.5</v>
      </c>
      <c r="E62" s="1128">
        <v>0.4</v>
      </c>
      <c r="F62" s="1128">
        <v>1</v>
      </c>
      <c r="G62" s="1128">
        <v>0.1</v>
      </c>
      <c r="H62" s="1128">
        <v>0.15</v>
      </c>
      <c r="I62" s="1128">
        <v>0.15</v>
      </c>
      <c r="J62" s="1128">
        <v>0.35</v>
      </c>
      <c r="K62" s="1085">
        <f t="shared" ref="K62:K63" si="7">SUM(C62:J62)</f>
        <v>3.45</v>
      </c>
    </row>
    <row r="63" spans="1:11" ht="30" customHeight="1">
      <c r="A63" s="1097">
        <v>2</v>
      </c>
      <c r="B63" s="1092" t="s">
        <v>1689</v>
      </c>
      <c r="C63" s="1127">
        <v>0.08</v>
      </c>
      <c r="D63" s="1129">
        <v>0.3</v>
      </c>
      <c r="E63" s="1129">
        <v>0.3</v>
      </c>
      <c r="F63" s="1129">
        <v>1</v>
      </c>
      <c r="G63" s="1129"/>
      <c r="H63" s="1129">
        <v>7.4999999999999997E-2</v>
      </c>
      <c r="I63" s="1129">
        <v>0.05</v>
      </c>
      <c r="J63" s="1129">
        <v>0.2</v>
      </c>
      <c r="K63" s="1085">
        <f t="shared" si="7"/>
        <v>2.0049999999999999</v>
      </c>
    </row>
    <row r="64" spans="1:11" ht="30" hidden="1" customHeight="1">
      <c r="A64" s="1086" t="s">
        <v>1690</v>
      </c>
      <c r="B64" s="1130" t="s">
        <v>1691</v>
      </c>
      <c r="C64" s="1126"/>
      <c r="D64" s="1131"/>
      <c r="E64" s="1131"/>
      <c r="F64" s="1131"/>
      <c r="G64" s="1131"/>
      <c r="H64" s="1131"/>
      <c r="I64" s="1131"/>
      <c r="J64" s="1131"/>
      <c r="K64" s="1088">
        <v>0</v>
      </c>
    </row>
    <row r="65" spans="1:11" ht="30" hidden="1" customHeight="1">
      <c r="A65" s="1086">
        <v>1</v>
      </c>
      <c r="B65" s="1082" t="s">
        <v>1692</v>
      </c>
      <c r="C65" s="1132">
        <v>0</v>
      </c>
      <c r="D65" s="1132">
        <v>0</v>
      </c>
      <c r="E65" s="1132">
        <v>0</v>
      </c>
      <c r="F65" s="1132">
        <v>0</v>
      </c>
      <c r="G65" s="1132">
        <v>0</v>
      </c>
      <c r="H65" s="1132">
        <v>0</v>
      </c>
      <c r="I65" s="1132">
        <v>0</v>
      </c>
      <c r="J65" s="1132">
        <v>0</v>
      </c>
      <c r="K65" s="1132">
        <v>0</v>
      </c>
    </row>
    <row r="66" spans="1:11" ht="30" hidden="1" customHeight="1">
      <c r="A66" s="1133">
        <v>2</v>
      </c>
      <c r="B66" s="1134" t="s">
        <v>1693</v>
      </c>
      <c r="C66" s="1135">
        <v>0</v>
      </c>
      <c r="D66" s="1135">
        <v>0</v>
      </c>
      <c r="E66" s="1135">
        <v>0</v>
      </c>
      <c r="F66" s="1135">
        <v>0</v>
      </c>
      <c r="G66" s="1135">
        <v>0</v>
      </c>
      <c r="H66" s="1135">
        <v>0</v>
      </c>
      <c r="I66" s="1135">
        <v>0</v>
      </c>
      <c r="J66" s="1135">
        <v>0</v>
      </c>
      <c r="K66" s="1135">
        <v>0</v>
      </c>
    </row>
    <row r="67" spans="1:11" ht="30" customHeight="1">
      <c r="A67" s="1136" t="s">
        <v>1694</v>
      </c>
      <c r="B67" s="1130" t="s">
        <v>1695</v>
      </c>
      <c r="C67" s="1137"/>
      <c r="D67" s="1131"/>
      <c r="E67" s="1131"/>
      <c r="F67" s="1131"/>
      <c r="G67" s="1131"/>
      <c r="H67" s="1131"/>
      <c r="I67" s="1131"/>
      <c r="J67" s="1131"/>
      <c r="K67" s="1088">
        <v>0</v>
      </c>
    </row>
    <row r="68" spans="1:11" ht="30" customHeight="1">
      <c r="A68" s="1136">
        <v>1</v>
      </c>
      <c r="B68" s="1101" t="s">
        <v>1696</v>
      </c>
      <c r="C68" s="1132">
        <v>0</v>
      </c>
      <c r="D68" s="1132">
        <v>0.04</v>
      </c>
      <c r="E68" s="1132">
        <v>0</v>
      </c>
      <c r="F68" s="1132">
        <v>0</v>
      </c>
      <c r="G68" s="1132">
        <v>0.1</v>
      </c>
      <c r="H68" s="1132">
        <v>0</v>
      </c>
      <c r="I68" s="1132">
        <v>0</v>
      </c>
      <c r="J68" s="1132">
        <v>0.1</v>
      </c>
      <c r="K68" s="1085">
        <f>SUM(C68:J68)</f>
        <v>0.24000000000000002</v>
      </c>
    </row>
    <row r="69" spans="1:11" ht="30" customHeight="1">
      <c r="A69" s="1097"/>
      <c r="B69" s="1138"/>
      <c r="C69" s="1139"/>
      <c r="D69" s="1139"/>
      <c r="E69" s="1139"/>
      <c r="F69" s="1139"/>
      <c r="G69" s="1139"/>
      <c r="H69" s="1139"/>
      <c r="I69" s="1139"/>
      <c r="J69" s="1139"/>
      <c r="K69" s="1140"/>
    </row>
    <row r="70" spans="1:11" ht="30" customHeight="1">
      <c r="A70" s="1136"/>
      <c r="B70" s="1141" t="s">
        <v>1697</v>
      </c>
      <c r="C70" s="1142">
        <f>SUM(C4:C68)</f>
        <v>4.8550000000000004</v>
      </c>
      <c r="D70" s="1142">
        <f t="shared" ref="D70:K70" si="8">SUM(D4:D68)</f>
        <v>4.8199999999999994</v>
      </c>
      <c r="E70" s="1142">
        <f t="shared" si="8"/>
        <v>3.6799999999999993</v>
      </c>
      <c r="F70" s="1142">
        <f t="shared" si="8"/>
        <v>19.620999999999995</v>
      </c>
      <c r="G70" s="1142">
        <f t="shared" si="8"/>
        <v>5.894999999999996</v>
      </c>
      <c r="H70" s="1142">
        <f t="shared" si="8"/>
        <v>1.8450000000000002</v>
      </c>
      <c r="I70" s="1142">
        <f t="shared" si="8"/>
        <v>4.9499999999999975</v>
      </c>
      <c r="J70" s="1142">
        <f t="shared" si="8"/>
        <v>8.0249999999999968</v>
      </c>
      <c r="K70" s="1142">
        <f t="shared" si="8"/>
        <v>53.691000000000017</v>
      </c>
    </row>
    <row r="71" spans="1:11" ht="30" customHeight="1">
      <c r="A71" s="1112" t="s">
        <v>1698</v>
      </c>
      <c r="B71" s="1143" t="s">
        <v>1699</v>
      </c>
      <c r="C71" s="1144">
        <v>14.04</v>
      </c>
      <c r="D71" s="1144">
        <v>4.8780000000000001</v>
      </c>
      <c r="E71" s="1144">
        <v>6.32</v>
      </c>
      <c r="F71" s="1144">
        <v>0</v>
      </c>
      <c r="G71" s="1144">
        <v>3.879</v>
      </c>
      <c r="H71" s="1144">
        <v>4.0179999999999998</v>
      </c>
      <c r="I71" s="1144">
        <v>1.05</v>
      </c>
      <c r="J71" s="1144">
        <v>6.165</v>
      </c>
      <c r="K71" s="1145">
        <f>SUM(C71:J71)</f>
        <v>40.349999999999994</v>
      </c>
    </row>
    <row r="72" spans="1:11" ht="30" customHeight="1">
      <c r="A72" s="1146"/>
      <c r="B72" s="1143" t="s">
        <v>150</v>
      </c>
      <c r="C72" s="1144">
        <f>+C71+C70</f>
        <v>18.895</v>
      </c>
      <c r="D72" s="1144">
        <f t="shared" ref="D72:K72" si="9">+D71+D70</f>
        <v>9.6980000000000004</v>
      </c>
      <c r="E72" s="1144">
        <f t="shared" si="9"/>
        <v>10</v>
      </c>
      <c r="F72" s="1144">
        <f t="shared" si="9"/>
        <v>19.620999999999995</v>
      </c>
      <c r="G72" s="1144">
        <f t="shared" si="9"/>
        <v>9.7739999999999956</v>
      </c>
      <c r="H72" s="1144">
        <f t="shared" si="9"/>
        <v>5.8629999999999995</v>
      </c>
      <c r="I72" s="1144">
        <f t="shared" si="9"/>
        <v>5.9999999999999973</v>
      </c>
      <c r="J72" s="1144">
        <f t="shared" si="9"/>
        <v>14.189999999999998</v>
      </c>
      <c r="K72" s="1144">
        <f t="shared" si="9"/>
        <v>94.041000000000011</v>
      </c>
    </row>
    <row r="73" spans="1:11" ht="30" hidden="1" customHeight="1">
      <c r="C73" s="745">
        <v>18.895</v>
      </c>
      <c r="D73" s="745">
        <v>9.6980000000000004</v>
      </c>
      <c r="E73" s="745">
        <v>10</v>
      </c>
      <c r="F73" s="745">
        <v>19.471</v>
      </c>
      <c r="G73" s="745">
        <v>9.7739999999999991</v>
      </c>
      <c r="H73" s="745">
        <v>5.8630000000000004</v>
      </c>
      <c r="I73" s="745">
        <v>6</v>
      </c>
      <c r="J73" s="745">
        <v>14.19</v>
      </c>
      <c r="K73" s="745">
        <v>93.891000000000005</v>
      </c>
    </row>
    <row r="74" spans="1:11" ht="30" hidden="1" customHeight="1">
      <c r="C74" s="1147">
        <v>0</v>
      </c>
      <c r="D74" s="1147">
        <v>0</v>
      </c>
      <c r="E74" s="1147">
        <v>0</v>
      </c>
      <c r="F74" s="1147">
        <v>0.14999999999999503</v>
      </c>
      <c r="G74" s="1147">
        <v>0</v>
      </c>
      <c r="H74" s="1147">
        <v>0</v>
      </c>
      <c r="I74" s="1147">
        <v>0</v>
      </c>
      <c r="J74" s="1147">
        <v>0</v>
      </c>
      <c r="K74" s="1147">
        <v>0.15000000000000568</v>
      </c>
    </row>
    <row r="75" spans="1:11" ht="30" hidden="1" customHeight="1">
      <c r="B75" t="s">
        <v>150</v>
      </c>
      <c r="C75">
        <v>18.895000000000003</v>
      </c>
      <c r="D75">
        <v>9.6980000000000004</v>
      </c>
      <c r="E75">
        <v>20.547999999999998</v>
      </c>
      <c r="F75">
        <v>19.470999999999997</v>
      </c>
      <c r="G75">
        <v>9.7739999999999956</v>
      </c>
      <c r="H75">
        <v>5.33</v>
      </c>
      <c r="I75">
        <v>8.3479999999999972</v>
      </c>
      <c r="J75">
        <v>18.987999999999996</v>
      </c>
      <c r="K75">
        <v>111.05199999999999</v>
      </c>
    </row>
    <row r="76" spans="1:11" ht="30" hidden="1" customHeight="1">
      <c r="C76" s="1147">
        <v>0</v>
      </c>
      <c r="D76" s="1147">
        <v>0</v>
      </c>
      <c r="E76" s="1147">
        <v>-10.547999999999998</v>
      </c>
      <c r="F76" s="1147">
        <v>0.14999999999999858</v>
      </c>
      <c r="G76" s="1147">
        <v>0</v>
      </c>
      <c r="H76" s="1147">
        <v>0.53299999999999947</v>
      </c>
      <c r="I76" s="1147">
        <v>-2.3479999999999999</v>
      </c>
      <c r="J76" s="1147">
        <v>-4.7979999999999983</v>
      </c>
      <c r="K76" s="1147">
        <v>-17.010999999999981</v>
      </c>
    </row>
    <row r="77" spans="1:11" ht="30" customHeight="1">
      <c r="J77" s="1147"/>
    </row>
  </sheetData>
  <mergeCells count="6">
    <mergeCell ref="B31:K31"/>
    <mergeCell ref="A1:K1"/>
    <mergeCell ref="J2:K2"/>
    <mergeCell ref="B4:K4"/>
    <mergeCell ref="B11:K11"/>
    <mergeCell ref="B19:K19"/>
  </mergeCells>
  <pageMargins left="0.51" right="0.17" top="0.53" bottom="0.45" header="0.3" footer="0.3"/>
  <pageSetup scale="7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21"/>
  <sheetViews>
    <sheetView topLeftCell="A153" workbookViewId="0">
      <selection activeCell="F159" sqref="F159"/>
    </sheetView>
  </sheetViews>
  <sheetFormatPr defaultRowHeight="15"/>
  <cols>
    <col min="1" max="1" width="13.85546875" bestFit="1" customWidth="1"/>
    <col min="2" max="2" width="33.42578125" customWidth="1"/>
    <col min="3" max="3" width="18.7109375" customWidth="1"/>
  </cols>
  <sheetData>
    <row r="1" spans="1:6" ht="24.95" customHeight="1">
      <c r="A1" s="702"/>
      <c r="B1" s="702"/>
      <c r="C1" s="1155"/>
    </row>
    <row r="2" spans="1:6" ht="24.95" customHeight="1">
      <c r="A2" s="1340" t="s">
        <v>989</v>
      </c>
      <c r="B2" s="1341"/>
      <c r="C2" s="1341"/>
    </row>
    <row r="3" spans="1:6" ht="24.95" customHeight="1">
      <c r="A3" s="632"/>
      <c r="B3" s="633"/>
      <c r="C3" s="667"/>
    </row>
    <row r="4" spans="1:6" ht="24.95" customHeight="1">
      <c r="A4" s="1336" t="s">
        <v>1281</v>
      </c>
      <c r="B4" s="1336"/>
      <c r="C4" s="1336"/>
    </row>
    <row r="5" spans="1:6" ht="24.95" customHeight="1">
      <c r="A5" s="627"/>
      <c r="B5" s="634"/>
      <c r="C5" s="668" t="s">
        <v>822</v>
      </c>
    </row>
    <row r="6" spans="1:6" ht="24.95" customHeight="1">
      <c r="A6" s="1342" t="s">
        <v>160</v>
      </c>
      <c r="B6" s="1342" t="s">
        <v>161</v>
      </c>
      <c r="C6" s="1343" t="s">
        <v>1199</v>
      </c>
    </row>
    <row r="7" spans="1:6">
      <c r="A7" s="1342"/>
      <c r="B7" s="1342"/>
      <c r="C7" s="1344"/>
    </row>
    <row r="8" spans="1:6" ht="24.95" customHeight="1">
      <c r="A8" s="1385"/>
      <c r="B8" s="1386"/>
      <c r="C8" s="1387"/>
    </row>
    <row r="9" spans="1:6" ht="24.95" customHeight="1">
      <c r="A9" s="645" t="s">
        <v>287</v>
      </c>
      <c r="B9" s="646" t="s">
        <v>469</v>
      </c>
      <c r="C9" s="669">
        <v>69.17</v>
      </c>
      <c r="F9" s="729"/>
    </row>
    <row r="10" spans="1:6" ht="24.95" hidden="1" customHeight="1">
      <c r="A10" s="647" t="s">
        <v>288</v>
      </c>
      <c r="B10" s="648" t="s">
        <v>444</v>
      </c>
      <c r="C10" s="671"/>
    </row>
    <row r="11" spans="1:6" ht="24.95" customHeight="1">
      <c r="A11" s="647" t="s">
        <v>289</v>
      </c>
      <c r="B11" s="648" t="s">
        <v>1282</v>
      </c>
      <c r="C11" s="671">
        <v>30.986000000000001</v>
      </c>
    </row>
    <row r="12" spans="1:6" ht="24.95" customHeight="1">
      <c r="A12" s="647" t="s">
        <v>289</v>
      </c>
      <c r="B12" s="648" t="s">
        <v>1283</v>
      </c>
      <c r="C12" s="671">
        <v>38.183999999999997</v>
      </c>
    </row>
    <row r="13" spans="1:6" hidden="1">
      <c r="A13" s="647" t="s">
        <v>448</v>
      </c>
      <c r="B13" s="648" t="s">
        <v>449</v>
      </c>
      <c r="C13" s="671"/>
    </row>
    <row r="14" spans="1:6" ht="25.5" hidden="1">
      <c r="A14" s="647" t="s">
        <v>450</v>
      </c>
      <c r="B14" s="648" t="s">
        <v>451</v>
      </c>
      <c r="C14" s="671"/>
    </row>
    <row r="15" spans="1:6" ht="25.5" hidden="1">
      <c r="A15" s="647" t="s">
        <v>452</v>
      </c>
      <c r="B15" s="649" t="s">
        <v>711</v>
      </c>
      <c r="C15" s="671"/>
    </row>
    <row r="16" spans="1:6" ht="25.5" hidden="1">
      <c r="A16" s="647" t="s">
        <v>453</v>
      </c>
      <c r="B16" s="648" t="s">
        <v>454</v>
      </c>
      <c r="C16" s="703"/>
    </row>
    <row r="17" spans="1:3" ht="25.5" hidden="1">
      <c r="A17" s="647" t="s">
        <v>455</v>
      </c>
      <c r="B17" s="704" t="s">
        <v>713</v>
      </c>
      <c r="C17" s="705"/>
    </row>
    <row r="18" spans="1:3" ht="25.5" hidden="1">
      <c r="A18" s="647" t="s">
        <v>456</v>
      </c>
      <c r="B18" s="704" t="s">
        <v>457</v>
      </c>
      <c r="C18" s="706"/>
    </row>
    <row r="19" spans="1:3" ht="25.5" hidden="1">
      <c r="A19" s="647" t="s">
        <v>458</v>
      </c>
      <c r="B19" s="704" t="s">
        <v>459</v>
      </c>
      <c r="C19" s="707"/>
    </row>
    <row r="20" spans="1:3" hidden="1">
      <c r="A20" s="647" t="s">
        <v>460</v>
      </c>
      <c r="B20" s="648" t="s">
        <v>461</v>
      </c>
      <c r="C20" s="708"/>
    </row>
    <row r="21" spans="1:3" hidden="1">
      <c r="A21" s="647" t="s">
        <v>462</v>
      </c>
      <c r="B21" s="648" t="s">
        <v>463</v>
      </c>
      <c r="C21" s="671"/>
    </row>
    <row r="22" spans="1:3" ht="38.25" hidden="1">
      <c r="A22" s="647" t="s">
        <v>464</v>
      </c>
      <c r="B22" s="648" t="s">
        <v>465</v>
      </c>
      <c r="C22" s="671"/>
    </row>
    <row r="23" spans="1:3" ht="38.25" hidden="1">
      <c r="A23" s="647" t="s">
        <v>466</v>
      </c>
      <c r="B23" s="648" t="s">
        <v>712</v>
      </c>
      <c r="C23" s="671"/>
    </row>
    <row r="24" spans="1:3" hidden="1">
      <c r="A24" s="647" t="s">
        <v>773</v>
      </c>
      <c r="B24" s="648" t="s">
        <v>816</v>
      </c>
      <c r="C24" s="671"/>
    </row>
    <row r="25" spans="1:3" ht="25.5" hidden="1">
      <c r="A25" s="647" t="s">
        <v>817</v>
      </c>
      <c r="B25" s="648" t="s">
        <v>819</v>
      </c>
      <c r="C25" s="671"/>
    </row>
    <row r="26" spans="1:3" hidden="1">
      <c r="A26" s="647" t="s">
        <v>818</v>
      </c>
      <c r="B26" s="648" t="s">
        <v>820</v>
      </c>
      <c r="C26" s="671"/>
    </row>
    <row r="27" spans="1:3" hidden="1">
      <c r="A27" s="647" t="s">
        <v>467</v>
      </c>
      <c r="B27" s="648" t="s">
        <v>468</v>
      </c>
      <c r="C27" s="671"/>
    </row>
    <row r="28" spans="1:3" hidden="1">
      <c r="A28" s="645" t="s">
        <v>481</v>
      </c>
      <c r="B28" s="646" t="s">
        <v>482</v>
      </c>
      <c r="C28" s="670">
        <v>0</v>
      </c>
    </row>
    <row r="29" spans="1:3" hidden="1">
      <c r="A29" s="647" t="s">
        <v>290</v>
      </c>
      <c r="B29" s="648" t="s">
        <v>470</v>
      </c>
      <c r="C29" s="671"/>
    </row>
    <row r="30" spans="1:3" hidden="1">
      <c r="A30" s="647" t="s">
        <v>471</v>
      </c>
      <c r="B30" s="648" t="s">
        <v>472</v>
      </c>
      <c r="C30" s="671"/>
    </row>
    <row r="31" spans="1:3" hidden="1">
      <c r="A31" s="647" t="s">
        <v>473</v>
      </c>
      <c r="B31" s="648" t="s">
        <v>474</v>
      </c>
      <c r="C31" s="671"/>
    </row>
    <row r="32" spans="1:3" hidden="1">
      <c r="A32" s="647" t="s">
        <v>475</v>
      </c>
      <c r="B32" s="648" t="s">
        <v>476</v>
      </c>
      <c r="C32" s="671"/>
    </row>
    <row r="33" spans="1:3" hidden="1">
      <c r="A33" s="647" t="s">
        <v>477</v>
      </c>
      <c r="B33" s="648" t="s">
        <v>478</v>
      </c>
      <c r="C33" s="671"/>
    </row>
    <row r="34" spans="1:3" hidden="1">
      <c r="A34" s="647" t="s">
        <v>479</v>
      </c>
      <c r="B34" s="648" t="s">
        <v>480</v>
      </c>
      <c r="C34" s="671"/>
    </row>
    <row r="35" spans="1:3" hidden="1">
      <c r="A35" s="645" t="s">
        <v>483</v>
      </c>
      <c r="B35" s="646" t="s">
        <v>484</v>
      </c>
      <c r="C35" s="670">
        <v>0</v>
      </c>
    </row>
    <row r="36" spans="1:3" ht="25.5" hidden="1">
      <c r="A36" s="645" t="s">
        <v>494</v>
      </c>
      <c r="B36" s="646" t="s">
        <v>718</v>
      </c>
      <c r="C36" s="670">
        <v>0</v>
      </c>
    </row>
    <row r="37" spans="1:3" ht="25.5" hidden="1">
      <c r="A37" s="647" t="s">
        <v>292</v>
      </c>
      <c r="B37" s="648" t="s">
        <v>485</v>
      </c>
      <c r="C37" s="671"/>
    </row>
    <row r="38" spans="1:3" ht="25.5" hidden="1">
      <c r="A38" s="647" t="s">
        <v>486</v>
      </c>
      <c r="B38" s="648" t="s">
        <v>487</v>
      </c>
      <c r="C38" s="671"/>
    </row>
    <row r="39" spans="1:3" ht="25.5" hidden="1">
      <c r="A39" s="647" t="s">
        <v>488</v>
      </c>
      <c r="B39" s="648" t="s">
        <v>489</v>
      </c>
      <c r="C39" s="671"/>
    </row>
    <row r="40" spans="1:3" ht="25.5" hidden="1">
      <c r="A40" s="647" t="s">
        <v>490</v>
      </c>
      <c r="B40" s="648" t="s">
        <v>714</v>
      </c>
      <c r="C40" s="671"/>
    </row>
    <row r="41" spans="1:3" ht="25.5" hidden="1">
      <c r="A41" s="647" t="s">
        <v>491</v>
      </c>
      <c r="B41" s="648" t="s">
        <v>715</v>
      </c>
      <c r="C41" s="671"/>
    </row>
    <row r="42" spans="1:3" hidden="1">
      <c r="A42" s="647" t="s">
        <v>492</v>
      </c>
      <c r="B42" s="648" t="s">
        <v>493</v>
      </c>
      <c r="C42" s="671"/>
    </row>
    <row r="43" spans="1:3" hidden="1">
      <c r="A43" s="647"/>
      <c r="B43" s="648"/>
      <c r="C43" s="671"/>
    </row>
    <row r="44" spans="1:3" ht="25.5" hidden="1">
      <c r="A44" s="645" t="s">
        <v>494</v>
      </c>
      <c r="B44" s="646" t="s">
        <v>716</v>
      </c>
      <c r="C44" s="670">
        <v>0</v>
      </c>
    </row>
    <row r="45" spans="1:3" hidden="1">
      <c r="A45" s="647" t="s">
        <v>495</v>
      </c>
      <c r="B45" s="648" t="s">
        <v>496</v>
      </c>
      <c r="C45" s="671"/>
    </row>
    <row r="46" spans="1:3" ht="25.5" hidden="1">
      <c r="A46" s="647" t="s">
        <v>497</v>
      </c>
      <c r="B46" s="648" t="s">
        <v>498</v>
      </c>
      <c r="C46" s="671"/>
    </row>
    <row r="47" spans="1:3" ht="25.5" hidden="1">
      <c r="A47" s="647" t="s">
        <v>499</v>
      </c>
      <c r="B47" s="648" t="s">
        <v>500</v>
      </c>
      <c r="C47" s="671"/>
    </row>
    <row r="48" spans="1:3" ht="38.25" hidden="1">
      <c r="A48" s="647" t="s">
        <v>501</v>
      </c>
      <c r="B48" s="648" t="s">
        <v>502</v>
      </c>
      <c r="C48" s="671"/>
    </row>
    <row r="49" spans="1:3" hidden="1">
      <c r="A49" s="647" t="s">
        <v>503</v>
      </c>
      <c r="B49" s="648" t="s">
        <v>504</v>
      </c>
      <c r="C49" s="671"/>
    </row>
    <row r="50" spans="1:3" ht="38.25" hidden="1">
      <c r="A50" s="645" t="s">
        <v>291</v>
      </c>
      <c r="B50" s="650" t="s">
        <v>513</v>
      </c>
      <c r="C50" s="670">
        <v>0</v>
      </c>
    </row>
    <row r="51" spans="1:3" ht="25.5" hidden="1">
      <c r="A51" s="647" t="s">
        <v>505</v>
      </c>
      <c r="B51" s="648" t="s">
        <v>506</v>
      </c>
      <c r="C51" s="671"/>
    </row>
    <row r="52" spans="1:3" ht="25.5" hidden="1">
      <c r="A52" s="647" t="s">
        <v>507</v>
      </c>
      <c r="B52" s="648" t="s">
        <v>508</v>
      </c>
      <c r="C52" s="671"/>
    </row>
    <row r="53" spans="1:3" ht="25.5" hidden="1">
      <c r="A53" s="647" t="s">
        <v>509</v>
      </c>
      <c r="B53" s="648" t="s">
        <v>510</v>
      </c>
      <c r="C53" s="671"/>
    </row>
    <row r="54" spans="1:3" ht="25.5" hidden="1">
      <c r="A54" s="647" t="s">
        <v>511</v>
      </c>
      <c r="B54" s="648" t="s">
        <v>512</v>
      </c>
      <c r="C54" s="671"/>
    </row>
    <row r="55" spans="1:3" ht="25.5" hidden="1">
      <c r="A55" s="645" t="s">
        <v>530</v>
      </c>
      <c r="B55" s="650" t="s">
        <v>717</v>
      </c>
      <c r="C55" s="670">
        <v>0</v>
      </c>
    </row>
    <row r="56" spans="1:3" hidden="1">
      <c r="A56" s="647" t="s">
        <v>514</v>
      </c>
      <c r="B56" s="648" t="s">
        <v>515</v>
      </c>
      <c r="C56" s="671"/>
    </row>
    <row r="57" spans="1:3" ht="25.5" hidden="1">
      <c r="A57" s="647" t="s">
        <v>516</v>
      </c>
      <c r="B57" s="648" t="s">
        <v>517</v>
      </c>
      <c r="C57" s="671"/>
    </row>
    <row r="58" spans="1:3" ht="25.5" hidden="1">
      <c r="A58" s="647" t="s">
        <v>518</v>
      </c>
      <c r="B58" s="648" t="s">
        <v>519</v>
      </c>
      <c r="C58" s="671"/>
    </row>
    <row r="59" spans="1:3" hidden="1">
      <c r="A59" s="647" t="s">
        <v>520</v>
      </c>
      <c r="B59" s="648" t="s">
        <v>521</v>
      </c>
      <c r="C59" s="671"/>
    </row>
    <row r="60" spans="1:3" hidden="1">
      <c r="A60" s="647" t="s">
        <v>522</v>
      </c>
      <c r="B60" s="648" t="s">
        <v>523</v>
      </c>
      <c r="C60" s="671"/>
    </row>
    <row r="61" spans="1:3" hidden="1">
      <c r="A61" s="647" t="s">
        <v>524</v>
      </c>
      <c r="B61" s="648" t="s">
        <v>525</v>
      </c>
      <c r="C61" s="671"/>
    </row>
    <row r="62" spans="1:3" hidden="1">
      <c r="A62" s="647" t="s">
        <v>526</v>
      </c>
      <c r="B62" s="648" t="s">
        <v>527</v>
      </c>
      <c r="C62" s="671"/>
    </row>
    <row r="63" spans="1:3" hidden="1">
      <c r="A63" s="647" t="s">
        <v>528</v>
      </c>
      <c r="B63" s="648" t="s">
        <v>529</v>
      </c>
      <c r="C63" s="671"/>
    </row>
    <row r="64" spans="1:3" ht="24.95" customHeight="1">
      <c r="A64" s="645" t="s">
        <v>544</v>
      </c>
      <c r="B64" s="646" t="s">
        <v>545</v>
      </c>
      <c r="C64" s="669">
        <v>10.523700000000002</v>
      </c>
    </row>
    <row r="65" spans="1:3" ht="24.95" hidden="1" customHeight="1">
      <c r="A65" s="647" t="s">
        <v>293</v>
      </c>
      <c r="B65" s="648" t="s">
        <v>531</v>
      </c>
      <c r="C65" s="671"/>
    </row>
    <row r="66" spans="1:3" ht="24.95" hidden="1" customHeight="1">
      <c r="A66" s="647" t="s">
        <v>532</v>
      </c>
      <c r="B66" s="648" t="s">
        <v>533</v>
      </c>
      <c r="C66" s="671"/>
    </row>
    <row r="67" spans="1:3" ht="24.95" hidden="1" customHeight="1">
      <c r="A67" s="647" t="s">
        <v>534</v>
      </c>
      <c r="B67" s="648" t="s">
        <v>535</v>
      </c>
      <c r="C67" s="671"/>
    </row>
    <row r="68" spans="1:3" ht="24.95" customHeight="1">
      <c r="A68" s="709" t="s">
        <v>1284</v>
      </c>
      <c r="B68" s="710" t="s">
        <v>1640</v>
      </c>
      <c r="C68" s="671">
        <v>1.2100000000000002</v>
      </c>
    </row>
    <row r="69" spans="1:3" ht="24.95" hidden="1" customHeight="1">
      <c r="A69" s="709" t="s">
        <v>1285</v>
      </c>
      <c r="B69" s="710" t="s">
        <v>1240</v>
      </c>
      <c r="C69" s="671">
        <v>0</v>
      </c>
    </row>
    <row r="70" spans="1:3" ht="24.95" hidden="1" customHeight="1">
      <c r="A70" s="709" t="s">
        <v>1286</v>
      </c>
      <c r="B70" s="710" t="s">
        <v>1241</v>
      </c>
      <c r="C70" s="671">
        <v>0</v>
      </c>
    </row>
    <row r="71" spans="1:3" ht="24.95" hidden="1" customHeight="1">
      <c r="A71" s="647" t="s">
        <v>536</v>
      </c>
      <c r="B71" s="648" t="s">
        <v>537</v>
      </c>
      <c r="C71" s="671">
        <v>0</v>
      </c>
    </row>
    <row r="72" spans="1:3" ht="24.95" hidden="1" customHeight="1">
      <c r="A72" s="709" t="s">
        <v>540</v>
      </c>
      <c r="B72" s="710" t="s">
        <v>1287</v>
      </c>
      <c r="C72" s="671">
        <v>0</v>
      </c>
    </row>
    <row r="73" spans="1:3" ht="24.95" customHeight="1">
      <c r="A73" s="709" t="s">
        <v>1243</v>
      </c>
      <c r="B73" s="710" t="s">
        <v>1288</v>
      </c>
      <c r="C73" s="671">
        <v>3.63</v>
      </c>
    </row>
    <row r="74" spans="1:3" ht="24.95" hidden="1" customHeight="1">
      <c r="A74" s="709" t="s">
        <v>1244</v>
      </c>
      <c r="B74" s="710" t="s">
        <v>1248</v>
      </c>
      <c r="C74" s="671">
        <v>0</v>
      </c>
    </row>
    <row r="75" spans="1:3" ht="24.95" customHeight="1">
      <c r="A75" s="709" t="s">
        <v>1245</v>
      </c>
      <c r="B75" s="710" t="s">
        <v>1249</v>
      </c>
      <c r="C75" s="671">
        <v>1.2100000000000002</v>
      </c>
    </row>
    <row r="76" spans="1:3" ht="24.95" customHeight="1">
      <c r="A76" s="709" t="s">
        <v>1289</v>
      </c>
      <c r="B76" s="710" t="s">
        <v>1290</v>
      </c>
      <c r="C76" s="671">
        <v>1.2100000000000002</v>
      </c>
    </row>
    <row r="77" spans="1:3" ht="24.95" customHeight="1">
      <c r="A77" s="709" t="s">
        <v>1245</v>
      </c>
      <c r="B77" s="710" t="s">
        <v>1291</v>
      </c>
      <c r="C77" s="671">
        <v>3.0613000000000001</v>
      </c>
    </row>
    <row r="78" spans="1:3" ht="24.95" hidden="1" customHeight="1">
      <c r="A78" s="647" t="s">
        <v>540</v>
      </c>
      <c r="B78" s="648" t="s">
        <v>541</v>
      </c>
      <c r="C78" s="671">
        <v>0</v>
      </c>
    </row>
    <row r="79" spans="1:3" ht="24.95" customHeight="1">
      <c r="A79" s="647" t="s">
        <v>542</v>
      </c>
      <c r="B79" s="651" t="s">
        <v>543</v>
      </c>
      <c r="C79" s="671">
        <v>0.20240000000000002</v>
      </c>
    </row>
    <row r="80" spans="1:3" ht="24.95" customHeight="1">
      <c r="A80" s="652"/>
      <c r="B80" s="653" t="s">
        <v>722</v>
      </c>
      <c r="C80" s="672">
        <v>79.693700000000007</v>
      </c>
    </row>
    <row r="81" spans="1:3" ht="24.95" customHeight="1">
      <c r="A81" s="629"/>
      <c r="B81" s="629"/>
      <c r="C81" s="673"/>
    </row>
    <row r="82" spans="1:3" ht="24.95" customHeight="1">
      <c r="A82" s="184"/>
      <c r="B82" s="184"/>
      <c r="C82" s="1154"/>
    </row>
    <row r="83" spans="1:3" ht="24.95" customHeight="1">
      <c r="A83" s="1363" t="s">
        <v>546</v>
      </c>
      <c r="B83" s="1363"/>
      <c r="C83" s="1363"/>
    </row>
    <row r="84" spans="1:3" ht="24.95" customHeight="1">
      <c r="A84" s="426"/>
      <c r="B84" s="426"/>
      <c r="C84" s="426"/>
    </row>
    <row r="85" spans="1:3" ht="24.95" customHeight="1">
      <c r="A85" s="1388" t="s">
        <v>1281</v>
      </c>
      <c r="B85" s="1388"/>
      <c r="C85" s="1388"/>
    </row>
    <row r="86" spans="1:3" ht="24.95" customHeight="1">
      <c r="A86" s="180"/>
      <c r="B86" s="180"/>
      <c r="C86" s="186" t="s">
        <v>547</v>
      </c>
    </row>
    <row r="87" spans="1:3" ht="24.95" customHeight="1">
      <c r="A87" s="1364" t="s">
        <v>0</v>
      </c>
      <c r="B87" s="1364" t="s">
        <v>721</v>
      </c>
      <c r="C87" s="1365" t="s">
        <v>1199</v>
      </c>
    </row>
    <row r="88" spans="1:3">
      <c r="A88" s="1364"/>
      <c r="B88" s="1364"/>
      <c r="C88" s="1366"/>
    </row>
    <row r="89" spans="1:3" ht="24.95" customHeight="1">
      <c r="A89" s="1389" t="s">
        <v>685</v>
      </c>
      <c r="B89" s="1390"/>
      <c r="C89" s="678">
        <v>46.299390000000002</v>
      </c>
    </row>
    <row r="90" spans="1:3" ht="24.95" customHeight="1">
      <c r="A90" s="711" t="s">
        <v>1</v>
      </c>
      <c r="B90" s="712" t="s">
        <v>2</v>
      </c>
      <c r="C90" s="680">
        <v>46.299390000000002</v>
      </c>
    </row>
    <row r="91" spans="1:3" ht="24.95" hidden="1" customHeight="1">
      <c r="A91" s="711" t="s">
        <v>3</v>
      </c>
      <c r="B91" s="712" t="s">
        <v>4</v>
      </c>
      <c r="C91" s="680"/>
    </row>
    <row r="92" spans="1:3" ht="24.95" hidden="1" customHeight="1">
      <c r="A92" s="711" t="s">
        <v>5</v>
      </c>
      <c r="B92" s="712" t="s">
        <v>6</v>
      </c>
      <c r="C92" s="680"/>
    </row>
    <row r="93" spans="1:3" ht="24.95" hidden="1" customHeight="1">
      <c r="A93" s="711" t="s">
        <v>7</v>
      </c>
      <c r="B93" s="712" t="s">
        <v>8</v>
      </c>
      <c r="C93" s="680"/>
    </row>
    <row r="94" spans="1:3" ht="24.95" hidden="1" customHeight="1">
      <c r="A94" s="711" t="s">
        <v>9</v>
      </c>
      <c r="B94" s="712" t="s">
        <v>10</v>
      </c>
      <c r="C94" s="680"/>
    </row>
    <row r="95" spans="1:3" ht="24.95" hidden="1" customHeight="1">
      <c r="A95" s="711" t="s">
        <v>11</v>
      </c>
      <c r="B95" s="712" t="s">
        <v>12</v>
      </c>
      <c r="C95" s="680"/>
    </row>
    <row r="96" spans="1:3" ht="24.95" hidden="1" customHeight="1">
      <c r="A96" s="711" t="s">
        <v>13</v>
      </c>
      <c r="B96" s="712" t="s">
        <v>14</v>
      </c>
      <c r="C96" s="680"/>
    </row>
    <row r="97" spans="1:3" ht="24.95" hidden="1" customHeight="1">
      <c r="A97" s="711" t="s">
        <v>15</v>
      </c>
      <c r="B97" s="712" t="s">
        <v>16</v>
      </c>
      <c r="C97" s="680"/>
    </row>
    <row r="98" spans="1:3" ht="24.95" customHeight="1">
      <c r="A98" s="1391" t="s">
        <v>687</v>
      </c>
      <c r="B98" s="1392"/>
      <c r="C98" s="681">
        <v>41.066369999999999</v>
      </c>
    </row>
    <row r="99" spans="1:3" ht="24.95" customHeight="1">
      <c r="A99" s="711" t="s">
        <v>17</v>
      </c>
      <c r="B99" s="712" t="s">
        <v>2</v>
      </c>
      <c r="C99" s="680">
        <v>41.066369999999999</v>
      </c>
    </row>
    <row r="100" spans="1:3" ht="24.95" hidden="1" customHeight="1">
      <c r="A100" s="711" t="s">
        <v>18</v>
      </c>
      <c r="B100" s="712" t="s">
        <v>4</v>
      </c>
      <c r="C100" s="680"/>
    </row>
    <row r="101" spans="1:3" ht="24.95" hidden="1" customHeight="1">
      <c r="A101" s="711" t="s">
        <v>19</v>
      </c>
      <c r="B101" s="712" t="s">
        <v>6</v>
      </c>
      <c r="C101" s="680"/>
    </row>
    <row r="102" spans="1:3" ht="24.95" hidden="1" customHeight="1">
      <c r="A102" s="711" t="s">
        <v>20</v>
      </c>
      <c r="B102" s="712" t="s">
        <v>10</v>
      </c>
      <c r="C102" s="680"/>
    </row>
    <row r="103" spans="1:3" ht="24.95" hidden="1" customHeight="1">
      <c r="A103" s="711" t="s">
        <v>21</v>
      </c>
      <c r="B103" s="712" t="s">
        <v>12</v>
      </c>
      <c r="C103" s="680"/>
    </row>
    <row r="104" spans="1:3" ht="24.95" hidden="1" customHeight="1">
      <c r="A104" s="711" t="s">
        <v>22</v>
      </c>
      <c r="B104" s="712" t="s">
        <v>16</v>
      </c>
      <c r="C104" s="680"/>
    </row>
    <row r="105" spans="1:3" ht="24.95" customHeight="1">
      <c r="A105" s="1393" t="s">
        <v>23</v>
      </c>
      <c r="B105" s="1394"/>
      <c r="C105" s="682">
        <v>87.365759999999995</v>
      </c>
    </row>
    <row r="106" spans="1:3" ht="9.9499999999999993" customHeight="1">
      <c r="A106" s="1395"/>
      <c r="B106" s="1396"/>
      <c r="C106" s="1397"/>
    </row>
    <row r="107" spans="1:3" ht="24.95" customHeight="1">
      <c r="A107" s="1391" t="s">
        <v>686</v>
      </c>
      <c r="B107" s="1392"/>
      <c r="C107" s="681">
        <v>46.091745000000003</v>
      </c>
    </row>
    <row r="108" spans="1:3" ht="24.95" hidden="1" customHeight="1">
      <c r="A108" s="711" t="s">
        <v>24</v>
      </c>
      <c r="B108" s="712" t="s">
        <v>25</v>
      </c>
      <c r="C108" s="680"/>
    </row>
    <row r="109" spans="1:3" ht="24.95" customHeight="1">
      <c r="A109" s="711" t="s">
        <v>26</v>
      </c>
      <c r="B109" s="712" t="s">
        <v>27</v>
      </c>
      <c r="C109" s="680">
        <v>4.1276640000000002</v>
      </c>
    </row>
    <row r="110" spans="1:3" ht="24.95" customHeight="1">
      <c r="A110" s="711" t="s">
        <v>28</v>
      </c>
      <c r="B110" s="712" t="s">
        <v>29</v>
      </c>
      <c r="C110" s="680">
        <v>8.7383039999999994</v>
      </c>
    </row>
    <row r="111" spans="1:3" ht="24.95" hidden="1" customHeight="1">
      <c r="A111" s="713" t="s">
        <v>30</v>
      </c>
      <c r="B111" s="712" t="s">
        <v>31</v>
      </c>
      <c r="C111" s="680"/>
    </row>
    <row r="112" spans="1:3" ht="24.95" hidden="1" customHeight="1">
      <c r="A112" s="711" t="s">
        <v>32</v>
      </c>
      <c r="B112" s="712" t="s">
        <v>33</v>
      </c>
      <c r="C112" s="680"/>
    </row>
    <row r="113" spans="1:6" ht="24.95" hidden="1" customHeight="1">
      <c r="A113" s="711" t="s">
        <v>34</v>
      </c>
      <c r="B113" s="712" t="s">
        <v>35</v>
      </c>
      <c r="C113" s="680"/>
    </row>
    <row r="114" spans="1:6" ht="24.95" hidden="1" customHeight="1">
      <c r="A114" s="714" t="s">
        <v>688</v>
      </c>
      <c r="B114" s="712" t="s">
        <v>970</v>
      </c>
      <c r="C114" s="680"/>
    </row>
    <row r="115" spans="1:6" ht="24.95" hidden="1" customHeight="1">
      <c r="A115" s="711"/>
      <c r="B115" s="712" t="s">
        <v>1292</v>
      </c>
      <c r="C115" s="680"/>
    </row>
    <row r="116" spans="1:6" ht="24.95" customHeight="1">
      <c r="A116" s="711" t="s">
        <v>885</v>
      </c>
      <c r="B116" s="712" t="s">
        <v>968</v>
      </c>
      <c r="C116" s="680">
        <v>6.2374859999999996</v>
      </c>
    </row>
    <row r="117" spans="1:6" ht="24.95" customHeight="1">
      <c r="A117" s="711" t="s">
        <v>886</v>
      </c>
      <c r="B117" s="712" t="s">
        <v>969</v>
      </c>
      <c r="C117" s="680">
        <v>8.5411049999999999</v>
      </c>
    </row>
    <row r="118" spans="1:6" ht="24.95" customHeight="1">
      <c r="A118" s="711" t="s">
        <v>983</v>
      </c>
      <c r="B118" s="712" t="s">
        <v>982</v>
      </c>
      <c r="C118" s="680">
        <v>8.5411049999999999</v>
      </c>
    </row>
    <row r="119" spans="1:6" ht="24.95" customHeight="1">
      <c r="A119" s="711" t="s">
        <v>1022</v>
      </c>
      <c r="B119" s="712" t="s">
        <v>1023</v>
      </c>
      <c r="C119" s="680">
        <v>8.5411049999999999</v>
      </c>
    </row>
    <row r="120" spans="1:6" ht="24.95" customHeight="1">
      <c r="A120" s="711" t="s">
        <v>36</v>
      </c>
      <c r="B120" s="712" t="s">
        <v>37</v>
      </c>
      <c r="C120" s="680">
        <v>1.364976</v>
      </c>
    </row>
    <row r="121" spans="1:6" ht="24.95" hidden="1" customHeight="1">
      <c r="A121" s="711" t="s">
        <v>38</v>
      </c>
      <c r="B121" s="712" t="s">
        <v>39</v>
      </c>
      <c r="C121" s="680"/>
    </row>
    <row r="122" spans="1:6" ht="24.95" customHeight="1">
      <c r="A122" s="1398" t="s">
        <v>74</v>
      </c>
      <c r="B122" s="1399"/>
      <c r="C122" s="681">
        <v>16.867761000000002</v>
      </c>
    </row>
    <row r="123" spans="1:6" ht="24.95" hidden="1" customHeight="1">
      <c r="A123" s="711" t="s">
        <v>40</v>
      </c>
      <c r="B123" s="712" t="s">
        <v>41</v>
      </c>
      <c r="C123" s="680"/>
    </row>
    <row r="124" spans="1:6" ht="24.95" customHeight="1">
      <c r="A124" s="711" t="s">
        <v>42</v>
      </c>
      <c r="B124" s="712" t="s">
        <v>43</v>
      </c>
      <c r="C124" s="679">
        <v>0.3</v>
      </c>
    </row>
    <row r="125" spans="1:6" ht="24.95" customHeight="1">
      <c r="A125" s="711"/>
      <c r="B125" s="712" t="s">
        <v>1305</v>
      </c>
      <c r="C125" s="680"/>
      <c r="F125" s="679">
        <v>10.855</v>
      </c>
    </row>
    <row r="126" spans="1:6" ht="24.95" customHeight="1">
      <c r="A126" s="711" t="s">
        <v>44</v>
      </c>
      <c r="B126" s="712" t="s">
        <v>45</v>
      </c>
      <c r="C126" s="680">
        <v>16.518861000000001</v>
      </c>
      <c r="F126" s="679">
        <v>4.1520000000000001</v>
      </c>
    </row>
    <row r="127" spans="1:6" ht="24.95" hidden="1" customHeight="1">
      <c r="A127" s="711" t="s">
        <v>46</v>
      </c>
      <c r="B127" s="712" t="s">
        <v>47</v>
      </c>
      <c r="C127" s="680"/>
    </row>
    <row r="128" spans="1:6" ht="24.95" customHeight="1">
      <c r="A128" s="711" t="s">
        <v>48</v>
      </c>
      <c r="B128" s="712" t="s">
        <v>49</v>
      </c>
      <c r="C128" s="679">
        <v>2.2499999999999999E-2</v>
      </c>
    </row>
    <row r="129" spans="1:3" ht="24.95" hidden="1" customHeight="1">
      <c r="A129" s="711" t="s">
        <v>50</v>
      </c>
      <c r="B129" s="712" t="s">
        <v>51</v>
      </c>
      <c r="C129" s="680"/>
    </row>
    <row r="130" spans="1:3" ht="24.95" hidden="1" customHeight="1">
      <c r="A130" s="711" t="s">
        <v>52</v>
      </c>
      <c r="B130" s="712" t="s">
        <v>53</v>
      </c>
      <c r="C130" s="680"/>
    </row>
    <row r="131" spans="1:3" ht="24.95" hidden="1" customHeight="1">
      <c r="A131" s="711" t="s">
        <v>54</v>
      </c>
      <c r="B131" s="712" t="s">
        <v>55</v>
      </c>
      <c r="C131" s="680"/>
    </row>
    <row r="132" spans="1:3" ht="24.95" hidden="1" customHeight="1">
      <c r="A132" s="711" t="s">
        <v>56</v>
      </c>
      <c r="B132" s="712" t="s">
        <v>57</v>
      </c>
      <c r="C132" s="680"/>
    </row>
    <row r="133" spans="1:3" ht="24.95" hidden="1" customHeight="1">
      <c r="A133" s="711" t="s">
        <v>58</v>
      </c>
      <c r="B133" s="712" t="s">
        <v>59</v>
      </c>
      <c r="C133" s="680"/>
    </row>
    <row r="134" spans="1:3" ht="24.95" hidden="1" customHeight="1">
      <c r="A134" s="711" t="s">
        <v>60</v>
      </c>
      <c r="B134" s="712" t="s">
        <v>61</v>
      </c>
      <c r="C134" s="680"/>
    </row>
    <row r="135" spans="1:3" ht="24.95" hidden="1" customHeight="1">
      <c r="A135" s="711" t="s">
        <v>62</v>
      </c>
      <c r="B135" s="712" t="s">
        <v>63</v>
      </c>
      <c r="C135" s="680"/>
    </row>
    <row r="136" spans="1:3" ht="24.95" customHeight="1">
      <c r="A136" s="711" t="s">
        <v>64</v>
      </c>
      <c r="B136" s="712" t="s">
        <v>720</v>
      </c>
      <c r="C136" s="680">
        <v>2.64E-2</v>
      </c>
    </row>
    <row r="137" spans="1:3" ht="24.95" hidden="1" customHeight="1">
      <c r="A137" s="711" t="s">
        <v>65</v>
      </c>
      <c r="B137" s="712" t="s">
        <v>66</v>
      </c>
      <c r="C137" s="680"/>
    </row>
    <row r="138" spans="1:3" ht="24.95" hidden="1" customHeight="1">
      <c r="A138" s="711" t="s">
        <v>67</v>
      </c>
      <c r="B138" s="712" t="s">
        <v>68</v>
      </c>
      <c r="C138" s="680"/>
    </row>
    <row r="139" spans="1:3" ht="24.95" hidden="1" customHeight="1">
      <c r="A139" s="711" t="s">
        <v>69</v>
      </c>
      <c r="B139" s="712" t="s">
        <v>70</v>
      </c>
      <c r="C139" s="680"/>
    </row>
    <row r="140" spans="1:3" ht="24.95" hidden="1" customHeight="1">
      <c r="A140" s="711" t="s">
        <v>71</v>
      </c>
      <c r="B140" s="712" t="s">
        <v>72</v>
      </c>
      <c r="C140" s="680"/>
    </row>
    <row r="141" spans="1:3" ht="24.95" hidden="1" customHeight="1">
      <c r="A141" s="711" t="s">
        <v>73</v>
      </c>
      <c r="B141" s="712" t="s">
        <v>16</v>
      </c>
      <c r="C141" s="680"/>
    </row>
    <row r="142" spans="1:3" ht="24.95" customHeight="1">
      <c r="A142" s="1400" t="s">
        <v>75</v>
      </c>
      <c r="B142" s="1401"/>
      <c r="C142" s="683">
        <v>62.959506000000005</v>
      </c>
    </row>
    <row r="143" spans="1:3" ht="9.9499999999999993" customHeight="1">
      <c r="A143" s="1395"/>
      <c r="B143" s="1396"/>
      <c r="C143" s="1397"/>
    </row>
    <row r="144" spans="1:3" ht="24.95" customHeight="1">
      <c r="A144" s="1402" t="s">
        <v>91</v>
      </c>
      <c r="B144" s="1403"/>
      <c r="C144" s="683">
        <v>15.862571800000003</v>
      </c>
    </row>
    <row r="145" spans="1:8" ht="24.95" customHeight="1">
      <c r="A145" s="711" t="s">
        <v>76</v>
      </c>
      <c r="B145" s="712" t="s">
        <v>1293</v>
      </c>
      <c r="C145" s="680">
        <v>0.12100000000000001</v>
      </c>
    </row>
    <row r="146" spans="1:8" ht="24.95" hidden="1" customHeight="1">
      <c r="A146" s="711" t="s">
        <v>78</v>
      </c>
      <c r="B146" s="712" t="s">
        <v>79</v>
      </c>
      <c r="C146" s="680">
        <v>0</v>
      </c>
    </row>
    <row r="147" spans="1:8" ht="24.95" customHeight="1">
      <c r="A147" s="711" t="s">
        <v>80</v>
      </c>
      <c r="B147" s="712" t="s">
        <v>81</v>
      </c>
      <c r="C147" s="680">
        <v>0.60500000000000009</v>
      </c>
    </row>
    <row r="148" spans="1:8" ht="24.95" customHeight="1">
      <c r="A148" s="711" t="s">
        <v>82</v>
      </c>
      <c r="B148" s="712" t="s">
        <v>83</v>
      </c>
      <c r="C148" s="680">
        <v>3.0250000000000004</v>
      </c>
    </row>
    <row r="149" spans="1:8" ht="24.95" customHeight="1">
      <c r="A149" s="711" t="s">
        <v>84</v>
      </c>
      <c r="B149" s="712" t="s">
        <v>85</v>
      </c>
      <c r="C149" s="680">
        <v>12.069571800000002</v>
      </c>
    </row>
    <row r="150" spans="1:8" ht="24.95" hidden="1" customHeight="1">
      <c r="A150" s="715" t="s">
        <v>86</v>
      </c>
      <c r="B150" s="712" t="s">
        <v>684</v>
      </c>
      <c r="C150" s="680"/>
    </row>
    <row r="151" spans="1:8" ht="24.95" hidden="1" customHeight="1">
      <c r="A151" s="711" t="s">
        <v>87</v>
      </c>
      <c r="B151" s="712" t="s">
        <v>88</v>
      </c>
      <c r="C151" s="680"/>
    </row>
    <row r="152" spans="1:8" ht="24.95" hidden="1" customHeight="1">
      <c r="A152" s="711" t="s">
        <v>1294</v>
      </c>
      <c r="B152" s="712" t="s">
        <v>1295</v>
      </c>
      <c r="C152" s="680"/>
    </row>
    <row r="153" spans="1:8" ht="24.95" customHeight="1">
      <c r="A153" s="711" t="s">
        <v>89</v>
      </c>
      <c r="B153" s="716" t="s">
        <v>90</v>
      </c>
      <c r="C153" s="679">
        <v>4.2000000000000003E-2</v>
      </c>
    </row>
    <row r="154" spans="1:8" ht="24.95" customHeight="1">
      <c r="A154" s="1404" t="s">
        <v>92</v>
      </c>
      <c r="B154" s="1405"/>
      <c r="C154" s="684">
        <v>166.18783780000001</v>
      </c>
      <c r="H154" s="729" t="e">
        <f>#REF!-190.033</f>
        <v>#REF!</v>
      </c>
    </row>
    <row r="155" spans="1:8" ht="24.95" customHeight="1">
      <c r="A155" s="542"/>
      <c r="B155" s="542"/>
      <c r="C155" s="1154"/>
    </row>
    <row r="156" spans="1:8" ht="24.95" customHeight="1">
      <c r="A156" s="1373" t="s">
        <v>871</v>
      </c>
      <c r="B156" s="1373"/>
      <c r="C156" s="1373"/>
    </row>
    <row r="157" spans="1:8" ht="24.95" customHeight="1">
      <c r="A157" s="1388" t="s">
        <v>1281</v>
      </c>
      <c r="B157" s="1388"/>
      <c r="C157" s="1388"/>
    </row>
    <row r="158" spans="1:8" ht="24.95" customHeight="1">
      <c r="A158" s="165"/>
      <c r="B158" s="175"/>
      <c r="C158" s="186" t="s">
        <v>873</v>
      </c>
    </row>
    <row r="159" spans="1:8" ht="24.95" customHeight="1">
      <c r="A159" s="1364" t="s">
        <v>0</v>
      </c>
      <c r="B159" s="1364" t="s">
        <v>721</v>
      </c>
      <c r="C159" s="1365" t="s">
        <v>1199</v>
      </c>
    </row>
    <row r="160" spans="1:8">
      <c r="A160" s="1364"/>
      <c r="B160" s="1364"/>
      <c r="C160" s="1366"/>
    </row>
    <row r="161" spans="1:9" ht="5.0999999999999996" customHeight="1">
      <c r="A161" s="1367"/>
      <c r="B161" s="1368"/>
      <c r="C161" s="1369"/>
    </row>
    <row r="162" spans="1:9" ht="24.95" hidden="1" customHeight="1">
      <c r="A162" s="717" t="s">
        <v>679</v>
      </c>
      <c r="B162" s="718" t="s">
        <v>691</v>
      </c>
      <c r="C162" s="687">
        <v>0</v>
      </c>
    </row>
    <row r="163" spans="1:9" ht="24.95" hidden="1" customHeight="1">
      <c r="A163" s="719" t="s">
        <v>195</v>
      </c>
      <c r="B163" s="720" t="s">
        <v>681</v>
      </c>
      <c r="C163" s="680"/>
    </row>
    <row r="164" spans="1:9" ht="24.95" hidden="1" customHeight="1">
      <c r="A164" s="719" t="s">
        <v>196</v>
      </c>
      <c r="B164" s="720" t="s">
        <v>680</v>
      </c>
      <c r="C164" s="680"/>
    </row>
    <row r="165" spans="1:9" ht="24.95" customHeight="1">
      <c r="A165" s="721" t="s">
        <v>197</v>
      </c>
      <c r="B165" s="722" t="s">
        <v>692</v>
      </c>
      <c r="C165" s="688">
        <v>0.24200000000000002</v>
      </c>
    </row>
    <row r="166" spans="1:9" ht="24.95" hidden="1" customHeight="1">
      <c r="A166" s="719" t="s">
        <v>198</v>
      </c>
      <c r="B166" s="720" t="s">
        <v>678</v>
      </c>
      <c r="C166" s="680"/>
    </row>
    <row r="167" spans="1:9" ht="24.95" customHeight="1">
      <c r="A167" s="719" t="s">
        <v>199</v>
      </c>
      <c r="B167" s="720" t="s">
        <v>677</v>
      </c>
      <c r="C167" s="680">
        <v>0.24200000000000002</v>
      </c>
    </row>
    <row r="168" spans="1:9" ht="24.95" hidden="1" customHeight="1">
      <c r="A168" s="719" t="s">
        <v>676</v>
      </c>
      <c r="B168" s="720" t="s">
        <v>675</v>
      </c>
      <c r="C168" s="680"/>
    </row>
    <row r="169" spans="1:9" ht="24.95" hidden="1" customHeight="1">
      <c r="A169" s="719" t="s">
        <v>674</v>
      </c>
      <c r="B169" s="720" t="s">
        <v>673</v>
      </c>
      <c r="C169" s="680"/>
    </row>
    <row r="170" spans="1:9" ht="24.95" hidden="1" customHeight="1">
      <c r="A170" s="719" t="s">
        <v>672</v>
      </c>
      <c r="B170" s="720" t="s">
        <v>671</v>
      </c>
      <c r="C170" s="680"/>
    </row>
    <row r="171" spans="1:9" ht="24.95" hidden="1" customHeight="1">
      <c r="A171" s="719" t="s">
        <v>200</v>
      </c>
      <c r="B171" s="720" t="s">
        <v>670</v>
      </c>
      <c r="C171" s="680"/>
    </row>
    <row r="172" spans="1:9" ht="24.95" customHeight="1">
      <c r="A172" s="721" t="s">
        <v>201</v>
      </c>
      <c r="B172" s="722" t="s">
        <v>693</v>
      </c>
      <c r="C172" s="688">
        <v>6.5340000000000007</v>
      </c>
    </row>
    <row r="173" spans="1:9" ht="24.95" customHeight="1">
      <c r="A173" s="719" t="s">
        <v>202</v>
      </c>
      <c r="B173" s="720" t="s">
        <v>203</v>
      </c>
      <c r="C173" s="680">
        <v>0.48400000000000004</v>
      </c>
      <c r="I173" t="s">
        <v>1711</v>
      </c>
    </row>
    <row r="174" spans="1:9" ht="24.95" hidden="1" customHeight="1">
      <c r="A174" s="719" t="s">
        <v>204</v>
      </c>
      <c r="B174" s="720" t="s">
        <v>205</v>
      </c>
      <c r="C174" s="680">
        <v>0</v>
      </c>
    </row>
    <row r="175" spans="1:9" ht="24.95" customHeight="1">
      <c r="A175" s="719" t="s">
        <v>206</v>
      </c>
      <c r="B175" s="720" t="s">
        <v>207</v>
      </c>
      <c r="C175" s="680">
        <v>6.0500000000000007</v>
      </c>
    </row>
    <row r="176" spans="1:9" ht="24.95" hidden="1" customHeight="1">
      <c r="A176" s="719" t="s">
        <v>208</v>
      </c>
      <c r="B176" s="720" t="s">
        <v>669</v>
      </c>
      <c r="C176" s="680"/>
    </row>
    <row r="177" spans="1:6" ht="24.95" customHeight="1">
      <c r="A177" s="721" t="s">
        <v>209</v>
      </c>
      <c r="B177" s="722" t="s">
        <v>694</v>
      </c>
      <c r="C177" s="688">
        <v>18.599924000000001</v>
      </c>
      <c r="E177" s="1074"/>
      <c r="F177" s="1075"/>
    </row>
    <row r="178" spans="1:6" ht="24.95" customHeight="1">
      <c r="A178" s="719" t="s">
        <v>210</v>
      </c>
      <c r="B178" s="720" t="s">
        <v>1252</v>
      </c>
      <c r="C178" s="680">
        <v>6.9959519999999999</v>
      </c>
    </row>
    <row r="179" spans="1:6" ht="24.95" customHeight="1">
      <c r="A179" s="719" t="s">
        <v>211</v>
      </c>
      <c r="B179" s="720" t="s">
        <v>1253</v>
      </c>
      <c r="C179" s="680">
        <v>11.603972000000001</v>
      </c>
    </row>
    <row r="180" spans="1:6" ht="24.95" hidden="1" customHeight="1">
      <c r="A180" s="719" t="s">
        <v>212</v>
      </c>
      <c r="B180" s="720" t="s">
        <v>668</v>
      </c>
      <c r="C180" s="680"/>
    </row>
    <row r="181" spans="1:6" ht="24.95" hidden="1" customHeight="1">
      <c r="A181" s="719" t="s">
        <v>667</v>
      </c>
      <c r="B181" s="720" t="s">
        <v>666</v>
      </c>
      <c r="C181" s="680"/>
    </row>
    <row r="182" spans="1:6" ht="24.95" hidden="1" customHeight="1">
      <c r="A182" s="719" t="s">
        <v>213</v>
      </c>
      <c r="B182" s="720" t="s">
        <v>665</v>
      </c>
      <c r="C182" s="680"/>
    </row>
    <row r="183" spans="1:6" ht="24.95" hidden="1" customHeight="1">
      <c r="A183" s="719" t="s">
        <v>664</v>
      </c>
      <c r="B183" s="720" t="s">
        <v>663</v>
      </c>
      <c r="C183" s="680"/>
    </row>
    <row r="184" spans="1:6" ht="24.95" hidden="1" customHeight="1">
      <c r="A184" s="721" t="s">
        <v>652</v>
      </c>
      <c r="B184" s="722" t="s">
        <v>695</v>
      </c>
      <c r="C184" s="689">
        <v>0</v>
      </c>
    </row>
    <row r="185" spans="1:6" ht="24.95" hidden="1" customHeight="1">
      <c r="A185" s="719" t="s">
        <v>662</v>
      </c>
      <c r="B185" s="720" t="s">
        <v>661</v>
      </c>
      <c r="C185" s="680"/>
    </row>
    <row r="186" spans="1:6" ht="24.95" hidden="1" customHeight="1">
      <c r="A186" s="719" t="s">
        <v>660</v>
      </c>
      <c r="B186" s="720" t="s">
        <v>659</v>
      </c>
      <c r="C186" s="680"/>
    </row>
    <row r="187" spans="1:6" ht="24.95" hidden="1" customHeight="1">
      <c r="A187" s="719" t="s">
        <v>658</v>
      </c>
      <c r="B187" s="720" t="s">
        <v>651</v>
      </c>
      <c r="C187" s="680"/>
    </row>
    <row r="188" spans="1:6" ht="24.95" hidden="1" customHeight="1">
      <c r="A188" s="719" t="s">
        <v>657</v>
      </c>
      <c r="B188" s="720" t="s">
        <v>649</v>
      </c>
      <c r="C188" s="680"/>
    </row>
    <row r="189" spans="1:6" ht="24.95" hidden="1" customHeight="1">
      <c r="A189" s="719" t="s">
        <v>656</v>
      </c>
      <c r="B189" s="720" t="s">
        <v>655</v>
      </c>
      <c r="C189" s="680"/>
    </row>
    <row r="190" spans="1:6" ht="24.95" hidden="1" customHeight="1">
      <c r="A190" s="719" t="s">
        <v>654</v>
      </c>
      <c r="B190" s="720" t="s">
        <v>653</v>
      </c>
      <c r="C190" s="680"/>
    </row>
    <row r="191" spans="1:6" ht="24.95" hidden="1" customHeight="1">
      <c r="A191" s="721" t="s">
        <v>214</v>
      </c>
      <c r="B191" s="722" t="s">
        <v>696</v>
      </c>
      <c r="C191" s="689">
        <v>0</v>
      </c>
    </row>
    <row r="192" spans="1:6" ht="24.95" hidden="1" customHeight="1">
      <c r="A192" s="719" t="s">
        <v>215</v>
      </c>
      <c r="B192" s="720" t="s">
        <v>216</v>
      </c>
      <c r="C192" s="680"/>
    </row>
    <row r="193" spans="1:3" ht="24.95" hidden="1" customHeight="1">
      <c r="A193" s="719" t="s">
        <v>217</v>
      </c>
      <c r="B193" s="720" t="s">
        <v>218</v>
      </c>
      <c r="C193" s="680"/>
    </row>
    <row r="194" spans="1:3" ht="24.95" hidden="1" customHeight="1">
      <c r="A194" s="721" t="s">
        <v>219</v>
      </c>
      <c r="B194" s="722" t="s">
        <v>710</v>
      </c>
      <c r="C194" s="689">
        <v>0</v>
      </c>
    </row>
    <row r="195" spans="1:3" ht="24.95" hidden="1" customHeight="1">
      <c r="A195" s="719" t="s">
        <v>650</v>
      </c>
      <c r="B195" s="720" t="s">
        <v>649</v>
      </c>
      <c r="C195" s="680"/>
    </row>
    <row r="196" spans="1:3" ht="24.95" hidden="1" customHeight="1">
      <c r="A196" s="719" t="s">
        <v>648</v>
      </c>
      <c r="B196" s="720" t="s">
        <v>647</v>
      </c>
      <c r="C196" s="680"/>
    </row>
    <row r="197" spans="1:3" ht="24.95" hidden="1" customHeight="1">
      <c r="A197" s="719" t="s">
        <v>646</v>
      </c>
      <c r="B197" s="720" t="s">
        <v>645</v>
      </c>
      <c r="C197" s="680"/>
    </row>
    <row r="198" spans="1:3" ht="24.95" hidden="1" customHeight="1">
      <c r="A198" s="719" t="s">
        <v>220</v>
      </c>
      <c r="B198" s="720" t="s">
        <v>16</v>
      </c>
      <c r="C198" s="680"/>
    </row>
    <row r="199" spans="1:3" ht="24.95" customHeight="1">
      <c r="A199" s="721" t="s">
        <v>221</v>
      </c>
      <c r="B199" s="722" t="s">
        <v>709</v>
      </c>
      <c r="C199" s="688">
        <v>4.1139999999999999</v>
      </c>
    </row>
    <row r="200" spans="1:3" ht="24.95" hidden="1" customHeight="1">
      <c r="A200" s="719" t="s">
        <v>222</v>
      </c>
      <c r="B200" s="720" t="s">
        <v>644</v>
      </c>
      <c r="C200" s="680"/>
    </row>
    <row r="201" spans="1:3" ht="24.95" hidden="1" customHeight="1">
      <c r="A201" s="719" t="s">
        <v>223</v>
      </c>
      <c r="B201" s="720" t="s">
        <v>643</v>
      </c>
      <c r="C201" s="680"/>
    </row>
    <row r="202" spans="1:3" ht="24.95" hidden="1" customHeight="1">
      <c r="A202" s="719" t="s">
        <v>224</v>
      </c>
      <c r="B202" s="720" t="s">
        <v>642</v>
      </c>
      <c r="C202" s="680"/>
    </row>
    <row r="203" spans="1:3" ht="24.95" hidden="1" customHeight="1">
      <c r="A203" s="719" t="s">
        <v>225</v>
      </c>
      <c r="B203" s="720" t="s">
        <v>641</v>
      </c>
      <c r="C203" s="680"/>
    </row>
    <row r="204" spans="1:3" ht="24.95" customHeight="1">
      <c r="A204" s="719" t="s">
        <v>226</v>
      </c>
      <c r="B204" s="720" t="s">
        <v>640</v>
      </c>
      <c r="C204" s="680">
        <v>3.63</v>
      </c>
    </row>
    <row r="205" spans="1:3" ht="24.95" hidden="1" customHeight="1">
      <c r="A205" s="719" t="s">
        <v>227</v>
      </c>
      <c r="B205" s="720" t="s">
        <v>639</v>
      </c>
      <c r="C205" s="680">
        <v>0</v>
      </c>
    </row>
    <row r="206" spans="1:3" ht="24.95" customHeight="1">
      <c r="A206" s="719" t="s">
        <v>228</v>
      </c>
      <c r="B206" s="720" t="s">
        <v>638</v>
      </c>
      <c r="C206" s="680">
        <v>0.48400000000000004</v>
      </c>
    </row>
    <row r="207" spans="1:3" ht="24.95" hidden="1" customHeight="1">
      <c r="A207" s="719" t="s">
        <v>229</v>
      </c>
      <c r="B207" s="720" t="s">
        <v>637</v>
      </c>
      <c r="C207" s="680"/>
    </row>
    <row r="208" spans="1:3" ht="24.95" hidden="1" customHeight="1">
      <c r="A208" s="719" t="s">
        <v>230</v>
      </c>
      <c r="B208" s="720" t="s">
        <v>16</v>
      </c>
      <c r="C208" s="680"/>
    </row>
    <row r="209" spans="1:3" ht="24.95" customHeight="1">
      <c r="A209" s="721" t="s">
        <v>231</v>
      </c>
      <c r="B209" s="722" t="s">
        <v>697</v>
      </c>
      <c r="C209" s="688">
        <v>7.1269000000000009</v>
      </c>
    </row>
    <row r="210" spans="1:3" ht="24.95" customHeight="1">
      <c r="A210" s="719" t="s">
        <v>232</v>
      </c>
      <c r="B210" s="720" t="s">
        <v>233</v>
      </c>
      <c r="C210" s="680">
        <v>0.72600000000000009</v>
      </c>
    </row>
    <row r="211" spans="1:3" ht="24.95" customHeight="1">
      <c r="A211" s="719" t="s">
        <v>234</v>
      </c>
      <c r="B211" s="720" t="s">
        <v>636</v>
      </c>
      <c r="C211" s="680">
        <v>1.2100000000000002</v>
      </c>
    </row>
    <row r="212" spans="1:3" ht="24.95" customHeight="1">
      <c r="A212" s="719" t="s">
        <v>235</v>
      </c>
      <c r="B212" s="720" t="s">
        <v>635</v>
      </c>
      <c r="C212" s="680">
        <v>0.30250000000000005</v>
      </c>
    </row>
    <row r="213" spans="1:3" ht="24.95" hidden="1" customHeight="1">
      <c r="A213" s="719" t="s">
        <v>236</v>
      </c>
      <c r="B213" s="720" t="s">
        <v>634</v>
      </c>
      <c r="C213" s="680">
        <v>0</v>
      </c>
    </row>
    <row r="214" spans="1:3" ht="24.95" hidden="1" customHeight="1">
      <c r="A214" s="719" t="s">
        <v>237</v>
      </c>
      <c r="B214" s="720" t="s">
        <v>633</v>
      </c>
      <c r="C214" s="680">
        <v>0</v>
      </c>
    </row>
    <row r="215" spans="1:3" ht="24.95" customHeight="1">
      <c r="A215" s="719" t="s">
        <v>238</v>
      </c>
      <c r="B215" s="720" t="s">
        <v>632</v>
      </c>
      <c r="C215" s="680">
        <v>0.24200000000000002</v>
      </c>
    </row>
    <row r="216" spans="1:3" ht="24.95" hidden="1" customHeight="1">
      <c r="A216" s="719" t="s">
        <v>239</v>
      </c>
      <c r="B216" s="720" t="s">
        <v>631</v>
      </c>
      <c r="C216" s="680">
        <v>0</v>
      </c>
    </row>
    <row r="217" spans="1:3" ht="24.95" hidden="1" customHeight="1">
      <c r="A217" s="719" t="s">
        <v>240</v>
      </c>
      <c r="B217" s="720" t="s">
        <v>630</v>
      </c>
      <c r="C217" s="680">
        <v>0</v>
      </c>
    </row>
    <row r="218" spans="1:3" ht="24.95" hidden="1" customHeight="1">
      <c r="A218" s="719" t="s">
        <v>241</v>
      </c>
      <c r="B218" s="720" t="s">
        <v>629</v>
      </c>
      <c r="C218" s="680">
        <v>0</v>
      </c>
    </row>
    <row r="219" spans="1:3" ht="24.95" hidden="1" customHeight="1">
      <c r="A219" s="719" t="s">
        <v>242</v>
      </c>
      <c r="B219" s="720" t="s">
        <v>628</v>
      </c>
      <c r="C219" s="680">
        <v>0</v>
      </c>
    </row>
    <row r="220" spans="1:3" ht="24.95" hidden="1" customHeight="1">
      <c r="A220" s="719" t="s">
        <v>243</v>
      </c>
      <c r="B220" s="720" t="s">
        <v>627</v>
      </c>
      <c r="C220" s="680">
        <v>0</v>
      </c>
    </row>
    <row r="221" spans="1:3" ht="24.95" hidden="1" customHeight="1">
      <c r="A221" s="719" t="s">
        <v>244</v>
      </c>
      <c r="B221" s="720" t="s">
        <v>626</v>
      </c>
      <c r="C221" s="680">
        <v>0</v>
      </c>
    </row>
    <row r="222" spans="1:3" ht="24.95" hidden="1" customHeight="1">
      <c r="A222" s="719" t="s">
        <v>245</v>
      </c>
      <c r="B222" s="720" t="s">
        <v>625</v>
      </c>
      <c r="C222" s="680">
        <v>0</v>
      </c>
    </row>
    <row r="223" spans="1:3" ht="24.95" customHeight="1">
      <c r="A223" s="719" t="s">
        <v>246</v>
      </c>
      <c r="B223" s="723" t="s">
        <v>624</v>
      </c>
      <c r="C223" s="680">
        <v>0.36300000000000004</v>
      </c>
    </row>
    <row r="224" spans="1:3" ht="24.95" hidden="1" customHeight="1">
      <c r="A224" s="719" t="s">
        <v>247</v>
      </c>
      <c r="B224" s="720" t="s">
        <v>623</v>
      </c>
      <c r="C224" s="680">
        <v>0</v>
      </c>
    </row>
    <row r="225" spans="1:3" ht="24.95" hidden="1" customHeight="1">
      <c r="A225" s="719" t="s">
        <v>248</v>
      </c>
      <c r="B225" s="720" t="s">
        <v>622</v>
      </c>
      <c r="C225" s="680">
        <v>0</v>
      </c>
    </row>
    <row r="226" spans="1:3" ht="24.95" hidden="1" customHeight="1">
      <c r="A226" s="719" t="s">
        <v>249</v>
      </c>
      <c r="B226" s="720" t="s">
        <v>621</v>
      </c>
      <c r="C226" s="680">
        <v>0</v>
      </c>
    </row>
    <row r="227" spans="1:3" ht="24.95" hidden="1" customHeight="1">
      <c r="A227" s="719" t="s">
        <v>250</v>
      </c>
      <c r="B227" s="720" t="s">
        <v>620</v>
      </c>
      <c r="C227" s="680">
        <v>0</v>
      </c>
    </row>
    <row r="228" spans="1:3" ht="24.95" hidden="1" customHeight="1">
      <c r="A228" s="719" t="s">
        <v>251</v>
      </c>
      <c r="B228" s="720" t="s">
        <v>619</v>
      </c>
      <c r="C228" s="680">
        <v>0</v>
      </c>
    </row>
    <row r="229" spans="1:3" ht="24.95" customHeight="1">
      <c r="A229" s="719" t="s">
        <v>252</v>
      </c>
      <c r="B229" s="720" t="s">
        <v>618</v>
      </c>
      <c r="C229" s="680">
        <v>0.36300000000000004</v>
      </c>
    </row>
    <row r="230" spans="1:3" ht="24.95" hidden="1" customHeight="1">
      <c r="A230" s="719" t="s">
        <v>253</v>
      </c>
      <c r="B230" s="720" t="s">
        <v>617</v>
      </c>
      <c r="C230" s="680">
        <v>0</v>
      </c>
    </row>
    <row r="231" spans="1:3" ht="24.95" customHeight="1">
      <c r="A231" s="719" t="s">
        <v>616</v>
      </c>
      <c r="B231" s="720" t="s">
        <v>615</v>
      </c>
      <c r="C231" s="680">
        <v>0.60500000000000009</v>
      </c>
    </row>
    <row r="232" spans="1:3" ht="24.95" customHeight="1">
      <c r="A232" s="719" t="s">
        <v>614</v>
      </c>
      <c r="B232" s="720" t="s">
        <v>1258</v>
      </c>
      <c r="C232" s="680">
        <v>0.29040000000000005</v>
      </c>
    </row>
    <row r="233" spans="1:3" ht="24.95" hidden="1" customHeight="1">
      <c r="A233" s="719" t="s">
        <v>613</v>
      </c>
      <c r="B233" s="720" t="s">
        <v>612</v>
      </c>
      <c r="C233" s="680">
        <v>0</v>
      </c>
    </row>
    <row r="234" spans="1:3" ht="24.95" hidden="1" customHeight="1">
      <c r="A234" s="719" t="s">
        <v>254</v>
      </c>
      <c r="B234" s="720" t="s">
        <v>611</v>
      </c>
      <c r="C234" s="680">
        <v>0</v>
      </c>
    </row>
    <row r="235" spans="1:3" ht="24.95" hidden="1" customHeight="1">
      <c r="A235" s="719" t="s">
        <v>255</v>
      </c>
      <c r="B235" s="720" t="s">
        <v>16</v>
      </c>
      <c r="C235" s="680">
        <v>0</v>
      </c>
    </row>
    <row r="236" spans="1:3" ht="24.95" hidden="1" customHeight="1">
      <c r="A236" s="719" t="s">
        <v>256</v>
      </c>
      <c r="B236" s="720" t="s">
        <v>883</v>
      </c>
      <c r="C236" s="680">
        <v>0</v>
      </c>
    </row>
    <row r="237" spans="1:3" ht="24.95" hidden="1" customHeight="1">
      <c r="A237" s="719" t="s">
        <v>257</v>
      </c>
      <c r="B237" s="720" t="s">
        <v>878</v>
      </c>
      <c r="C237" s="680">
        <v>0</v>
      </c>
    </row>
    <row r="238" spans="1:3" ht="24.95" hidden="1" customHeight="1">
      <c r="A238" s="719" t="s">
        <v>258</v>
      </c>
      <c r="B238" s="720" t="s">
        <v>884</v>
      </c>
      <c r="C238" s="680">
        <v>0</v>
      </c>
    </row>
    <row r="239" spans="1:3" ht="24.95" hidden="1" customHeight="1">
      <c r="A239" s="719" t="s">
        <v>259</v>
      </c>
      <c r="B239" s="720" t="s">
        <v>879</v>
      </c>
      <c r="C239" s="680">
        <v>0</v>
      </c>
    </row>
    <row r="240" spans="1:3" ht="24.95" customHeight="1">
      <c r="A240" s="719" t="s">
        <v>236</v>
      </c>
      <c r="B240" s="720" t="s">
        <v>880</v>
      </c>
      <c r="C240" s="680">
        <v>0.36300000000000004</v>
      </c>
    </row>
    <row r="241" spans="1:3" ht="24.95" hidden="1" customHeight="1">
      <c r="A241" s="719" t="s">
        <v>876</v>
      </c>
      <c r="B241" s="720" t="s">
        <v>1296</v>
      </c>
      <c r="C241" s="680">
        <v>0</v>
      </c>
    </row>
    <row r="242" spans="1:3" ht="24.95" customHeight="1">
      <c r="A242" s="719" t="s">
        <v>877</v>
      </c>
      <c r="B242" s="720" t="s">
        <v>882</v>
      </c>
      <c r="C242" s="680">
        <v>2.6619999999999999</v>
      </c>
    </row>
    <row r="243" spans="1:3" ht="24.95" hidden="1" customHeight="1">
      <c r="A243" s="724" t="s">
        <v>1259</v>
      </c>
      <c r="B243" s="725" t="s">
        <v>1297</v>
      </c>
      <c r="C243" s="680"/>
    </row>
    <row r="244" spans="1:3" ht="24.95" hidden="1" customHeight="1">
      <c r="A244" s="724" t="s">
        <v>1298</v>
      </c>
      <c r="B244" s="725" t="s">
        <v>1299</v>
      </c>
      <c r="C244" s="680"/>
    </row>
    <row r="245" spans="1:3" ht="24.95" hidden="1" customHeight="1">
      <c r="A245" s="724" t="s">
        <v>1300</v>
      </c>
      <c r="B245" s="725" t="s">
        <v>1301</v>
      </c>
      <c r="C245" s="680"/>
    </row>
    <row r="246" spans="1:3" ht="24.95" hidden="1" customHeight="1">
      <c r="A246" s="724" t="s">
        <v>1302</v>
      </c>
      <c r="B246" s="725" t="s">
        <v>1303</v>
      </c>
      <c r="C246" s="680"/>
    </row>
    <row r="247" spans="1:3" ht="24.95" customHeight="1">
      <c r="A247" s="721" t="s">
        <v>610</v>
      </c>
      <c r="B247" s="722" t="s">
        <v>609</v>
      </c>
      <c r="C247" s="690">
        <v>36.616824000000001</v>
      </c>
    </row>
    <row r="248" spans="1:3" ht="5.0999999999999996" customHeight="1">
      <c r="A248" s="1406"/>
      <c r="B248" s="1407"/>
      <c r="C248" s="1408"/>
    </row>
    <row r="249" spans="1:3" ht="24.95" customHeight="1">
      <c r="A249" s="721" t="s">
        <v>601</v>
      </c>
      <c r="B249" s="722" t="s">
        <v>698</v>
      </c>
      <c r="C249" s="690">
        <v>115.265</v>
      </c>
    </row>
    <row r="250" spans="1:3" ht="24.95" customHeight="1">
      <c r="A250" s="726" t="s">
        <v>260</v>
      </c>
      <c r="B250" s="720" t="s">
        <v>261</v>
      </c>
      <c r="C250" s="680">
        <v>106.553</v>
      </c>
    </row>
    <row r="251" spans="1:3" ht="24.95" hidden="1" customHeight="1">
      <c r="A251" s="726" t="s">
        <v>262</v>
      </c>
      <c r="B251" s="720" t="s">
        <v>608</v>
      </c>
      <c r="C251" s="680"/>
    </row>
    <row r="252" spans="1:3" ht="24.95" hidden="1" customHeight="1">
      <c r="A252" s="726" t="s">
        <v>263</v>
      </c>
      <c r="B252" s="720" t="s">
        <v>264</v>
      </c>
      <c r="C252" s="680"/>
    </row>
    <row r="253" spans="1:3" ht="24.95" hidden="1" customHeight="1">
      <c r="A253" s="726" t="s">
        <v>265</v>
      </c>
      <c r="B253" s="720" t="s">
        <v>607</v>
      </c>
      <c r="C253" s="680"/>
    </row>
    <row r="254" spans="1:3" ht="24.95" hidden="1" customHeight="1">
      <c r="A254" s="726" t="s">
        <v>266</v>
      </c>
      <c r="B254" s="720" t="s">
        <v>606</v>
      </c>
      <c r="C254" s="680"/>
    </row>
    <row r="255" spans="1:3" ht="24.95" hidden="1" customHeight="1">
      <c r="A255" s="726" t="s">
        <v>267</v>
      </c>
      <c r="B255" s="720" t="s">
        <v>605</v>
      </c>
      <c r="C255" s="680"/>
    </row>
    <row r="256" spans="1:3" ht="24.95" hidden="1" customHeight="1">
      <c r="A256" s="726" t="s">
        <v>268</v>
      </c>
      <c r="B256" s="720" t="s">
        <v>604</v>
      </c>
      <c r="C256" s="680"/>
    </row>
    <row r="257" spans="1:3" ht="24.95" customHeight="1">
      <c r="A257" s="726" t="s">
        <v>269</v>
      </c>
      <c r="B257" s="720" t="s">
        <v>603</v>
      </c>
      <c r="C257" s="680">
        <v>7.26</v>
      </c>
    </row>
    <row r="258" spans="1:3" ht="24.95" customHeight="1">
      <c r="A258" s="719" t="s">
        <v>270</v>
      </c>
      <c r="B258" s="720" t="s">
        <v>602</v>
      </c>
      <c r="C258" s="680">
        <v>1.4520000000000002</v>
      </c>
    </row>
    <row r="259" spans="1:3" ht="24.95" customHeight="1">
      <c r="A259" s="721" t="s">
        <v>592</v>
      </c>
      <c r="B259" s="722" t="s">
        <v>699</v>
      </c>
      <c r="C259" s="690">
        <v>0.29260000000000003</v>
      </c>
    </row>
    <row r="260" spans="1:3" ht="24.95" customHeight="1">
      <c r="A260" s="719" t="s">
        <v>175</v>
      </c>
      <c r="B260" s="720" t="s">
        <v>176</v>
      </c>
      <c r="C260" s="680">
        <v>0.29260000000000003</v>
      </c>
    </row>
    <row r="261" spans="1:3" ht="24.95" hidden="1" customHeight="1">
      <c r="A261" s="719" t="s">
        <v>177</v>
      </c>
      <c r="B261" s="720" t="s">
        <v>600</v>
      </c>
      <c r="C261" s="680"/>
    </row>
    <row r="262" spans="1:3" ht="24.95" hidden="1" customHeight="1">
      <c r="A262" s="719" t="s">
        <v>178</v>
      </c>
      <c r="B262" s="720" t="s">
        <v>599</v>
      </c>
      <c r="C262" s="680"/>
    </row>
    <row r="263" spans="1:3" ht="24.95" hidden="1" customHeight="1">
      <c r="A263" s="719" t="s">
        <v>179</v>
      </c>
      <c r="B263" s="720" t="s">
        <v>598</v>
      </c>
      <c r="C263" s="680"/>
    </row>
    <row r="264" spans="1:3" ht="24.95" hidden="1" customHeight="1">
      <c r="A264" s="719" t="s">
        <v>180</v>
      </c>
      <c r="B264" s="720" t="s">
        <v>597</v>
      </c>
      <c r="C264" s="680"/>
    </row>
    <row r="265" spans="1:3" ht="24.95" hidden="1" customHeight="1">
      <c r="A265" s="719" t="s">
        <v>181</v>
      </c>
      <c r="B265" s="720" t="s">
        <v>182</v>
      </c>
      <c r="C265" s="680"/>
    </row>
    <row r="266" spans="1:3" ht="24.95" hidden="1" customHeight="1">
      <c r="A266" s="719" t="s">
        <v>183</v>
      </c>
      <c r="B266" s="720" t="s">
        <v>163</v>
      </c>
      <c r="C266" s="680"/>
    </row>
    <row r="267" spans="1:3" ht="24.95" hidden="1" customHeight="1">
      <c r="A267" s="719" t="s">
        <v>184</v>
      </c>
      <c r="B267" s="720" t="s">
        <v>165</v>
      </c>
      <c r="C267" s="680"/>
    </row>
    <row r="268" spans="1:3" ht="24.95" hidden="1" customHeight="1">
      <c r="A268" s="719" t="s">
        <v>185</v>
      </c>
      <c r="B268" s="720" t="s">
        <v>596</v>
      </c>
      <c r="C268" s="680"/>
    </row>
    <row r="269" spans="1:3" ht="24.95" hidden="1" customHeight="1">
      <c r="A269" s="719" t="s">
        <v>186</v>
      </c>
      <c r="B269" s="720" t="s">
        <v>595</v>
      </c>
      <c r="C269" s="680"/>
    </row>
    <row r="270" spans="1:3" ht="24.95" hidden="1" customHeight="1">
      <c r="A270" s="719" t="s">
        <v>187</v>
      </c>
      <c r="B270" s="720" t="s">
        <v>594</v>
      </c>
      <c r="C270" s="680"/>
    </row>
    <row r="271" spans="1:3" ht="24.95" hidden="1" customHeight="1">
      <c r="A271" s="719" t="s">
        <v>188</v>
      </c>
      <c r="B271" s="720" t="s">
        <v>593</v>
      </c>
      <c r="C271" s="680"/>
    </row>
    <row r="272" spans="1:3" ht="24.95" hidden="1" customHeight="1">
      <c r="A272" s="721" t="s">
        <v>189</v>
      </c>
      <c r="B272" s="722" t="s">
        <v>700</v>
      </c>
      <c r="C272" s="689">
        <v>0</v>
      </c>
    </row>
    <row r="273" spans="1:3" ht="24.95" hidden="1" customHeight="1">
      <c r="A273" s="719" t="s">
        <v>190</v>
      </c>
      <c r="B273" s="720" t="s">
        <v>590</v>
      </c>
      <c r="C273" s="680"/>
    </row>
    <row r="274" spans="1:3" ht="24.95" hidden="1" customHeight="1">
      <c r="A274" s="719" t="s">
        <v>191</v>
      </c>
      <c r="B274" s="720" t="s">
        <v>591</v>
      </c>
      <c r="C274" s="680"/>
    </row>
    <row r="275" spans="1:3" ht="24.95" hidden="1" customHeight="1">
      <c r="A275" s="721" t="s">
        <v>192</v>
      </c>
      <c r="B275" s="722" t="s">
        <v>708</v>
      </c>
      <c r="C275" s="689">
        <v>0</v>
      </c>
    </row>
    <row r="276" spans="1:3" ht="24.95" hidden="1" customHeight="1">
      <c r="A276" s="719" t="s">
        <v>193</v>
      </c>
      <c r="B276" s="720" t="s">
        <v>589</v>
      </c>
      <c r="C276" s="680"/>
    </row>
    <row r="277" spans="1:3" ht="24.95" hidden="1" customHeight="1">
      <c r="A277" s="719" t="s">
        <v>194</v>
      </c>
      <c r="B277" s="720" t="s">
        <v>588</v>
      </c>
      <c r="C277" s="680"/>
    </row>
    <row r="278" spans="1:3" ht="24.95" hidden="1" customHeight="1">
      <c r="A278" s="721" t="s">
        <v>581</v>
      </c>
      <c r="B278" s="722" t="s">
        <v>701</v>
      </c>
      <c r="C278" s="689">
        <v>0</v>
      </c>
    </row>
    <row r="279" spans="1:3" ht="24.95" hidden="1" customHeight="1">
      <c r="A279" s="719" t="s">
        <v>271</v>
      </c>
      <c r="B279" s="720" t="s">
        <v>587</v>
      </c>
      <c r="C279" s="680"/>
    </row>
    <row r="280" spans="1:3" ht="24.95" hidden="1" customHeight="1">
      <c r="A280" s="719" t="s">
        <v>272</v>
      </c>
      <c r="B280" s="720" t="s">
        <v>1271</v>
      </c>
      <c r="C280" s="680"/>
    </row>
    <row r="281" spans="1:3" ht="24.95" hidden="1" customHeight="1">
      <c r="A281" s="719" t="s">
        <v>273</v>
      </c>
      <c r="B281" s="720" t="s">
        <v>586</v>
      </c>
      <c r="C281" s="680"/>
    </row>
    <row r="282" spans="1:3" ht="24.95" hidden="1" customHeight="1">
      <c r="A282" s="719" t="s">
        <v>274</v>
      </c>
      <c r="B282" s="720" t="s">
        <v>585</v>
      </c>
      <c r="C282" s="680"/>
    </row>
    <row r="283" spans="1:3" ht="24.95" hidden="1" customHeight="1">
      <c r="A283" s="719" t="s">
        <v>1304</v>
      </c>
      <c r="B283" s="720" t="s">
        <v>584</v>
      </c>
      <c r="C283" s="680"/>
    </row>
    <row r="284" spans="1:3" ht="24.95" hidden="1" customHeight="1">
      <c r="A284" s="719" t="s">
        <v>275</v>
      </c>
      <c r="B284" s="720" t="s">
        <v>583</v>
      </c>
      <c r="C284" s="680"/>
    </row>
    <row r="285" spans="1:3" ht="24.95" hidden="1" customHeight="1">
      <c r="A285" s="719" t="s">
        <v>276</v>
      </c>
      <c r="B285" s="720" t="s">
        <v>582</v>
      </c>
      <c r="C285" s="680"/>
    </row>
    <row r="286" spans="1:3" ht="24.95" hidden="1" customHeight="1">
      <c r="A286" s="719" t="s">
        <v>277</v>
      </c>
      <c r="B286" s="720" t="s">
        <v>278</v>
      </c>
      <c r="C286" s="680"/>
    </row>
    <row r="287" spans="1:3" ht="24.95" hidden="1" customHeight="1">
      <c r="A287" s="721" t="s">
        <v>578</v>
      </c>
      <c r="B287" s="722" t="s">
        <v>707</v>
      </c>
      <c r="C287" s="689">
        <v>0</v>
      </c>
    </row>
    <row r="288" spans="1:3" ht="24.95" hidden="1" customHeight="1">
      <c r="A288" s="719" t="s">
        <v>279</v>
      </c>
      <c r="B288" s="720" t="s">
        <v>580</v>
      </c>
      <c r="C288" s="680"/>
    </row>
    <row r="289" spans="1:3" ht="24.95" hidden="1" customHeight="1">
      <c r="A289" s="719" t="s">
        <v>579</v>
      </c>
      <c r="B289" s="720" t="s">
        <v>16</v>
      </c>
      <c r="C289" s="680"/>
    </row>
    <row r="290" spans="1:3" ht="44.25" customHeight="1">
      <c r="A290" s="721" t="s">
        <v>574</v>
      </c>
      <c r="B290" s="722" t="s">
        <v>702</v>
      </c>
      <c r="C290" s="688">
        <v>2.6400000000000003E-2</v>
      </c>
    </row>
    <row r="291" spans="1:3" ht="24.95" customHeight="1">
      <c r="A291" s="719" t="s">
        <v>280</v>
      </c>
      <c r="B291" s="720" t="s">
        <v>577</v>
      </c>
      <c r="C291" s="680">
        <v>2.6400000000000003E-2</v>
      </c>
    </row>
    <row r="292" spans="1:3" ht="24.95" customHeight="1">
      <c r="A292" s="719" t="s">
        <v>576</v>
      </c>
      <c r="B292" s="720" t="s">
        <v>575</v>
      </c>
      <c r="C292" s="680"/>
    </row>
    <row r="293" spans="1:3" ht="24.95" hidden="1" customHeight="1">
      <c r="A293" s="721" t="s">
        <v>560</v>
      </c>
      <c r="B293" s="722" t="s">
        <v>706</v>
      </c>
      <c r="C293" s="689">
        <v>0</v>
      </c>
    </row>
    <row r="294" spans="1:3" ht="24.95" hidden="1" customHeight="1">
      <c r="A294" s="719" t="s">
        <v>573</v>
      </c>
      <c r="B294" s="720" t="s">
        <v>572</v>
      </c>
      <c r="C294" s="680"/>
    </row>
    <row r="295" spans="1:3" ht="24.95" hidden="1" customHeight="1">
      <c r="A295" s="719" t="s">
        <v>571</v>
      </c>
      <c r="B295" s="720" t="s">
        <v>570</v>
      </c>
      <c r="C295" s="680"/>
    </row>
    <row r="296" spans="1:3" ht="24.95" hidden="1" customHeight="1">
      <c r="A296" s="719" t="s">
        <v>569</v>
      </c>
      <c r="B296" s="720" t="s">
        <v>568</v>
      </c>
      <c r="C296" s="680"/>
    </row>
    <row r="297" spans="1:3" ht="24.95" hidden="1" customHeight="1">
      <c r="A297" s="719" t="s">
        <v>567</v>
      </c>
      <c r="B297" s="720" t="s">
        <v>566</v>
      </c>
      <c r="C297" s="680"/>
    </row>
    <row r="298" spans="1:3" ht="24.95" hidden="1" customHeight="1">
      <c r="A298" s="719" t="s">
        <v>565</v>
      </c>
      <c r="B298" s="720" t="s">
        <v>564</v>
      </c>
      <c r="C298" s="680"/>
    </row>
    <row r="299" spans="1:3" ht="24.95" hidden="1" customHeight="1">
      <c r="A299" s="719" t="s">
        <v>563</v>
      </c>
      <c r="B299" s="720" t="s">
        <v>562</v>
      </c>
      <c r="C299" s="680"/>
    </row>
    <row r="300" spans="1:3" ht="24.95" hidden="1" customHeight="1">
      <c r="A300" s="719" t="s">
        <v>561</v>
      </c>
      <c r="B300" s="720" t="s">
        <v>16</v>
      </c>
      <c r="C300" s="680"/>
    </row>
    <row r="301" spans="1:3" ht="24.95" hidden="1" customHeight="1">
      <c r="A301" s="721" t="s">
        <v>281</v>
      </c>
      <c r="B301" s="722" t="s">
        <v>705</v>
      </c>
      <c r="C301" s="689">
        <v>0</v>
      </c>
    </row>
    <row r="302" spans="1:3" ht="24.95" hidden="1" customHeight="1">
      <c r="A302" s="719" t="s">
        <v>282</v>
      </c>
      <c r="B302" s="720" t="s">
        <v>559</v>
      </c>
      <c r="C302" s="680"/>
    </row>
    <row r="303" spans="1:3" ht="24.95" hidden="1" customHeight="1">
      <c r="A303" s="719" t="s">
        <v>283</v>
      </c>
      <c r="B303" s="720" t="s">
        <v>558</v>
      </c>
      <c r="C303" s="680"/>
    </row>
    <row r="304" spans="1:3" ht="24.95" hidden="1" customHeight="1">
      <c r="A304" s="719" t="s">
        <v>284</v>
      </c>
      <c r="B304" s="720" t="s">
        <v>557</v>
      </c>
      <c r="C304" s="680"/>
    </row>
    <row r="305" spans="1:5" ht="24.95" hidden="1" customHeight="1">
      <c r="A305" s="719" t="s">
        <v>285</v>
      </c>
      <c r="B305" s="720" t="s">
        <v>556</v>
      </c>
      <c r="C305" s="680"/>
    </row>
    <row r="306" spans="1:5" ht="24.95" hidden="1" customHeight="1">
      <c r="A306" s="721" t="s">
        <v>550</v>
      </c>
      <c r="B306" s="722" t="s">
        <v>703</v>
      </c>
      <c r="C306" s="691">
        <v>0</v>
      </c>
    </row>
    <row r="307" spans="1:5" ht="24.95" hidden="1" customHeight="1">
      <c r="A307" s="719" t="s">
        <v>162</v>
      </c>
      <c r="B307" s="720" t="s">
        <v>163</v>
      </c>
      <c r="C307" s="680"/>
    </row>
    <row r="308" spans="1:5" ht="24.95" hidden="1" customHeight="1">
      <c r="A308" s="719" t="s">
        <v>164</v>
      </c>
      <c r="B308" s="720" t="s">
        <v>165</v>
      </c>
      <c r="C308" s="680"/>
    </row>
    <row r="309" spans="1:5" ht="24.95" hidden="1" customHeight="1">
      <c r="A309" s="719" t="s">
        <v>166</v>
      </c>
      <c r="B309" s="720" t="s">
        <v>555</v>
      </c>
      <c r="C309" s="680"/>
    </row>
    <row r="310" spans="1:5" ht="24.95" hidden="1" customHeight="1">
      <c r="A310" s="719" t="s">
        <v>167</v>
      </c>
      <c r="B310" s="720" t="s">
        <v>554</v>
      </c>
      <c r="C310" s="680"/>
    </row>
    <row r="311" spans="1:5" ht="24.95" hidden="1" customHeight="1">
      <c r="A311" s="719" t="s">
        <v>168</v>
      </c>
      <c r="B311" s="720" t="s">
        <v>553</v>
      </c>
      <c r="C311" s="680"/>
    </row>
    <row r="312" spans="1:5" ht="24.95" hidden="1" customHeight="1">
      <c r="A312" s="719" t="s">
        <v>169</v>
      </c>
      <c r="B312" s="720" t="s">
        <v>552</v>
      </c>
      <c r="C312" s="680"/>
    </row>
    <row r="313" spans="1:5" ht="24.95" hidden="1" customHeight="1">
      <c r="A313" s="719" t="s">
        <v>170</v>
      </c>
      <c r="B313" s="720" t="s">
        <v>551</v>
      </c>
      <c r="C313" s="680"/>
    </row>
    <row r="314" spans="1:5" ht="24.95" hidden="1" customHeight="1">
      <c r="A314" s="719" t="s">
        <v>171</v>
      </c>
      <c r="B314" s="720" t="s">
        <v>16</v>
      </c>
      <c r="C314" s="680"/>
    </row>
    <row r="315" spans="1:5" ht="24.95" hidden="1" customHeight="1">
      <c r="A315" s="721" t="s">
        <v>172</v>
      </c>
      <c r="B315" s="722" t="s">
        <v>704</v>
      </c>
      <c r="C315" s="689">
        <v>0</v>
      </c>
    </row>
    <row r="316" spans="1:5" ht="24.95" hidden="1" customHeight="1">
      <c r="A316" s="719" t="s">
        <v>173</v>
      </c>
      <c r="B316" s="720" t="s">
        <v>549</v>
      </c>
      <c r="C316" s="680"/>
    </row>
    <row r="317" spans="1:5" ht="24.95" hidden="1" customHeight="1">
      <c r="A317" s="719" t="s">
        <v>174</v>
      </c>
      <c r="B317" s="720" t="s">
        <v>548</v>
      </c>
      <c r="C317" s="680"/>
    </row>
    <row r="318" spans="1:5" ht="24.95" customHeight="1">
      <c r="A318" s="727"/>
      <c r="B318" s="728" t="s">
        <v>872</v>
      </c>
      <c r="C318" s="692">
        <v>152.20082400000001</v>
      </c>
      <c r="D318" s="745" t="e">
        <f>+#REF!+#REF!</f>
        <v>#REF!</v>
      </c>
      <c r="E318" s="745">
        <f>+C154-C144+C177+C153</f>
        <v>168.96718999999999</v>
      </c>
    </row>
    <row r="319" spans="1:5" ht="24.95" customHeight="1">
      <c r="A319" s="548"/>
      <c r="B319" s="548"/>
      <c r="C319" s="548"/>
      <c r="D319" s="745">
        <f>185853918/1000000</f>
        <v>185.85391799999999</v>
      </c>
      <c r="E319" s="745">
        <f>190831490/1000000</f>
        <v>190.83149</v>
      </c>
    </row>
    <row r="320" spans="1:5" ht="24.95" customHeight="1">
      <c r="A320" s="548"/>
      <c r="B320" s="548"/>
      <c r="C320" s="548"/>
      <c r="D320" s="745" t="e">
        <f>+D318-D319</f>
        <v>#REF!</v>
      </c>
      <c r="E320" s="745">
        <f>+E318-E319</f>
        <v>-21.864300000000014</v>
      </c>
    </row>
    <row r="321" spans="1:2" ht="24.95" customHeight="1">
      <c r="A321" s="164"/>
      <c r="B321" s="164"/>
    </row>
  </sheetData>
  <mergeCells count="28">
    <mergeCell ref="A161:C161"/>
    <mergeCell ref="A248:C248"/>
    <mergeCell ref="A157:C157"/>
    <mergeCell ref="A159:A160"/>
    <mergeCell ref="B159:B160"/>
    <mergeCell ref="C159:C160"/>
    <mergeCell ref="A156:C156"/>
    <mergeCell ref="A89:B89"/>
    <mergeCell ref="A98:B98"/>
    <mergeCell ref="A105:B105"/>
    <mergeCell ref="A106:C106"/>
    <mergeCell ref="A107:B107"/>
    <mergeCell ref="A122:B122"/>
    <mergeCell ref="A142:B142"/>
    <mergeCell ref="A143:C143"/>
    <mergeCell ref="A144:B144"/>
    <mergeCell ref="A154:B154"/>
    <mergeCell ref="A8:C8"/>
    <mergeCell ref="A83:C83"/>
    <mergeCell ref="A85:C85"/>
    <mergeCell ref="A87:A88"/>
    <mergeCell ref="B87:B88"/>
    <mergeCell ref="C87:C88"/>
    <mergeCell ref="A2:C2"/>
    <mergeCell ref="A4:C4"/>
    <mergeCell ref="A6:A7"/>
    <mergeCell ref="B6:B7"/>
    <mergeCell ref="C6:C7"/>
  </mergeCells>
  <pageMargins left="0.7" right="0.7" top="0.75" bottom="0.75" header="0.3" footer="0.3"/>
  <pageSetup scale="65" orientation="portrait" verticalDpi="4294967295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XFD48"/>
  <sheetViews>
    <sheetView view="pageBreakPreview" zoomScaleNormal="60" zoomScaleSheetLayoutView="100" workbookViewId="0">
      <selection activeCell="D36" sqref="D36:I36"/>
    </sheetView>
  </sheetViews>
  <sheetFormatPr defaultRowHeight="14.25"/>
  <cols>
    <col min="1" max="1" width="19.7109375" style="190" customWidth="1"/>
    <col min="2" max="2" width="6.42578125" style="189" bestFit="1" customWidth="1"/>
    <col min="3" max="3" width="9" style="1" customWidth="1"/>
    <col min="4" max="8" width="7.28515625" style="1" customWidth="1"/>
    <col min="9" max="9" width="11.7109375" style="1" customWidth="1"/>
    <col min="10" max="10" width="7.28515625" style="1" customWidth="1"/>
    <col min="11" max="11" width="11.7109375" style="1" customWidth="1"/>
    <col min="12" max="15" width="9.140625" style="9"/>
    <col min="16" max="16" width="12.7109375" style="9" bestFit="1" customWidth="1"/>
    <col min="17" max="20" width="9.140625" style="9"/>
    <col min="21" max="244" width="9.140625" style="1"/>
    <col min="245" max="245" width="33.85546875" style="1" bestFit="1" customWidth="1"/>
    <col min="246" max="246" width="6.42578125" style="1" bestFit="1" customWidth="1"/>
    <col min="247" max="247" width="10.85546875" style="1" bestFit="1" customWidth="1"/>
    <col min="248" max="251" width="7" style="1" customWidth="1"/>
    <col min="252" max="252" width="6.85546875" style="1" customWidth="1"/>
    <col min="253" max="253" width="10.42578125" style="1" customWidth="1"/>
    <col min="254" max="254" width="7.42578125" style="1" bestFit="1" customWidth="1"/>
    <col min="255" max="255" width="10.42578125" style="1" customWidth="1"/>
    <col min="256" max="256" width="10.85546875" style="1" bestFit="1" customWidth="1"/>
    <col min="257" max="260" width="7" style="1" customWidth="1"/>
    <col min="261" max="261" width="6" style="1" bestFit="1" customWidth="1"/>
    <col min="262" max="262" width="10.42578125" style="1" customWidth="1"/>
    <col min="263" max="263" width="7.42578125" style="1" bestFit="1" customWidth="1"/>
    <col min="264" max="264" width="10.42578125" style="1" customWidth="1"/>
    <col min="265" max="265" width="12" style="1" customWidth="1"/>
    <col min="266" max="266" width="8.85546875" style="1" customWidth="1"/>
    <col min="267" max="267" width="14" style="1" customWidth="1"/>
    <col min="268" max="500" width="9.140625" style="1"/>
    <col min="501" max="501" width="33.85546875" style="1" bestFit="1" customWidth="1"/>
    <col min="502" max="502" width="6.42578125" style="1" bestFit="1" customWidth="1"/>
    <col min="503" max="503" width="10.85546875" style="1" bestFit="1" customWidth="1"/>
    <col min="504" max="507" width="7" style="1" customWidth="1"/>
    <col min="508" max="508" width="6.85546875" style="1" customWidth="1"/>
    <col min="509" max="509" width="10.42578125" style="1" customWidth="1"/>
    <col min="510" max="510" width="7.42578125" style="1" bestFit="1" customWidth="1"/>
    <col min="511" max="511" width="10.42578125" style="1" customWidth="1"/>
    <col min="512" max="512" width="10.85546875" style="1" bestFit="1" customWidth="1"/>
    <col min="513" max="516" width="7" style="1" customWidth="1"/>
    <col min="517" max="517" width="6" style="1" bestFit="1" customWidth="1"/>
    <col min="518" max="518" width="10.42578125" style="1" customWidth="1"/>
    <col min="519" max="519" width="7.42578125" style="1" bestFit="1" customWidth="1"/>
    <col min="520" max="520" width="10.42578125" style="1" customWidth="1"/>
    <col min="521" max="521" width="12" style="1" customWidth="1"/>
    <col min="522" max="522" width="8.85546875" style="1" customWidth="1"/>
    <col min="523" max="523" width="14" style="1" customWidth="1"/>
    <col min="524" max="756" width="9.140625" style="1"/>
    <col min="757" max="757" width="33.85546875" style="1" bestFit="1" customWidth="1"/>
    <col min="758" max="758" width="6.42578125" style="1" bestFit="1" customWidth="1"/>
    <col min="759" max="759" width="10.85546875" style="1" bestFit="1" customWidth="1"/>
    <col min="760" max="763" width="7" style="1" customWidth="1"/>
    <col min="764" max="764" width="6.85546875" style="1" customWidth="1"/>
    <col min="765" max="765" width="10.42578125" style="1" customWidth="1"/>
    <col min="766" max="766" width="7.42578125" style="1" bestFit="1" customWidth="1"/>
    <col min="767" max="767" width="10.42578125" style="1" customWidth="1"/>
    <col min="768" max="768" width="10.85546875" style="1" bestFit="1" customWidth="1"/>
    <col min="769" max="772" width="7" style="1" customWidth="1"/>
    <col min="773" max="773" width="6" style="1" bestFit="1" customWidth="1"/>
    <col min="774" max="774" width="10.42578125" style="1" customWidth="1"/>
    <col min="775" max="775" width="7.42578125" style="1" bestFit="1" customWidth="1"/>
    <col min="776" max="776" width="10.42578125" style="1" customWidth="1"/>
    <col min="777" max="777" width="12" style="1" customWidth="1"/>
    <col min="778" max="778" width="8.85546875" style="1" customWidth="1"/>
    <col min="779" max="779" width="14" style="1" customWidth="1"/>
    <col min="780" max="1012" width="9.140625" style="1"/>
    <col min="1013" max="1013" width="33.85546875" style="1" bestFit="1" customWidth="1"/>
    <col min="1014" max="1014" width="6.42578125" style="1" bestFit="1" customWidth="1"/>
    <col min="1015" max="1015" width="10.85546875" style="1" bestFit="1" customWidth="1"/>
    <col min="1016" max="1019" width="7" style="1" customWidth="1"/>
    <col min="1020" max="1020" width="6.85546875" style="1" customWidth="1"/>
    <col min="1021" max="1021" width="10.42578125" style="1" customWidth="1"/>
    <col min="1022" max="1022" width="7.42578125" style="1" bestFit="1" customWidth="1"/>
    <col min="1023" max="1023" width="10.42578125" style="1" customWidth="1"/>
    <col min="1024" max="1024" width="10.85546875" style="1" bestFit="1" customWidth="1"/>
    <col min="1025" max="1028" width="7" style="1" customWidth="1"/>
    <col min="1029" max="1029" width="6" style="1" bestFit="1" customWidth="1"/>
    <col min="1030" max="1030" width="10.42578125" style="1" customWidth="1"/>
    <col min="1031" max="1031" width="7.42578125" style="1" bestFit="1" customWidth="1"/>
    <col min="1032" max="1032" width="10.42578125" style="1" customWidth="1"/>
    <col min="1033" max="1033" width="12" style="1" customWidth="1"/>
    <col min="1034" max="1034" width="8.85546875" style="1" customWidth="1"/>
    <col min="1035" max="1035" width="14" style="1" customWidth="1"/>
    <col min="1036" max="1268" width="9.140625" style="1"/>
    <col min="1269" max="1269" width="33.85546875" style="1" bestFit="1" customWidth="1"/>
    <col min="1270" max="1270" width="6.42578125" style="1" bestFit="1" customWidth="1"/>
    <col min="1271" max="1271" width="10.85546875" style="1" bestFit="1" customWidth="1"/>
    <col min="1272" max="1275" width="7" style="1" customWidth="1"/>
    <col min="1276" max="1276" width="6.85546875" style="1" customWidth="1"/>
    <col min="1277" max="1277" width="10.42578125" style="1" customWidth="1"/>
    <col min="1278" max="1278" width="7.42578125" style="1" bestFit="1" customWidth="1"/>
    <col min="1279" max="1279" width="10.42578125" style="1" customWidth="1"/>
    <col min="1280" max="1280" width="10.85546875" style="1" bestFit="1" customWidth="1"/>
    <col min="1281" max="1284" width="7" style="1" customWidth="1"/>
    <col min="1285" max="1285" width="6" style="1" bestFit="1" customWidth="1"/>
    <col min="1286" max="1286" width="10.42578125" style="1" customWidth="1"/>
    <col min="1287" max="1287" width="7.42578125" style="1" bestFit="1" customWidth="1"/>
    <col min="1288" max="1288" width="10.42578125" style="1" customWidth="1"/>
    <col min="1289" max="1289" width="12" style="1" customWidth="1"/>
    <col min="1290" max="1290" width="8.85546875" style="1" customWidth="1"/>
    <col min="1291" max="1291" width="14" style="1" customWidth="1"/>
    <col min="1292" max="1524" width="9.140625" style="1"/>
    <col min="1525" max="1525" width="33.85546875" style="1" bestFit="1" customWidth="1"/>
    <col min="1526" max="1526" width="6.42578125" style="1" bestFit="1" customWidth="1"/>
    <col min="1527" max="1527" width="10.85546875" style="1" bestFit="1" customWidth="1"/>
    <col min="1528" max="1531" width="7" style="1" customWidth="1"/>
    <col min="1532" max="1532" width="6.85546875" style="1" customWidth="1"/>
    <col min="1533" max="1533" width="10.42578125" style="1" customWidth="1"/>
    <col min="1534" max="1534" width="7.42578125" style="1" bestFit="1" customWidth="1"/>
    <col min="1535" max="1535" width="10.42578125" style="1" customWidth="1"/>
    <col min="1536" max="1536" width="10.85546875" style="1" bestFit="1" customWidth="1"/>
    <col min="1537" max="1540" width="7" style="1" customWidth="1"/>
    <col min="1541" max="1541" width="6" style="1" bestFit="1" customWidth="1"/>
    <col min="1542" max="1542" width="10.42578125" style="1" customWidth="1"/>
    <col min="1543" max="1543" width="7.42578125" style="1" bestFit="1" customWidth="1"/>
    <col min="1544" max="1544" width="10.42578125" style="1" customWidth="1"/>
    <col min="1545" max="1545" width="12" style="1" customWidth="1"/>
    <col min="1546" max="1546" width="8.85546875" style="1" customWidth="1"/>
    <col min="1547" max="1547" width="14" style="1" customWidth="1"/>
    <col min="1548" max="1780" width="9.140625" style="1"/>
    <col min="1781" max="1781" width="33.85546875" style="1" bestFit="1" customWidth="1"/>
    <col min="1782" max="1782" width="6.42578125" style="1" bestFit="1" customWidth="1"/>
    <col min="1783" max="1783" width="10.85546875" style="1" bestFit="1" customWidth="1"/>
    <col min="1784" max="1787" width="7" style="1" customWidth="1"/>
    <col min="1788" max="1788" width="6.85546875" style="1" customWidth="1"/>
    <col min="1789" max="1789" width="10.42578125" style="1" customWidth="1"/>
    <col min="1790" max="1790" width="7.42578125" style="1" bestFit="1" customWidth="1"/>
    <col min="1791" max="1791" width="10.42578125" style="1" customWidth="1"/>
    <col min="1792" max="1792" width="10.85546875" style="1" bestFit="1" customWidth="1"/>
    <col min="1793" max="1796" width="7" style="1" customWidth="1"/>
    <col min="1797" max="1797" width="6" style="1" bestFit="1" customWidth="1"/>
    <col min="1798" max="1798" width="10.42578125" style="1" customWidth="1"/>
    <col min="1799" max="1799" width="7.42578125" style="1" bestFit="1" customWidth="1"/>
    <col min="1800" max="1800" width="10.42578125" style="1" customWidth="1"/>
    <col min="1801" max="1801" width="12" style="1" customWidth="1"/>
    <col min="1802" max="1802" width="8.85546875" style="1" customWidth="1"/>
    <col min="1803" max="1803" width="14" style="1" customWidth="1"/>
    <col min="1804" max="2036" width="9.140625" style="1"/>
    <col min="2037" max="2037" width="33.85546875" style="1" bestFit="1" customWidth="1"/>
    <col min="2038" max="2038" width="6.42578125" style="1" bestFit="1" customWidth="1"/>
    <col min="2039" max="2039" width="10.85546875" style="1" bestFit="1" customWidth="1"/>
    <col min="2040" max="2043" width="7" style="1" customWidth="1"/>
    <col min="2044" max="2044" width="6.85546875" style="1" customWidth="1"/>
    <col min="2045" max="2045" width="10.42578125" style="1" customWidth="1"/>
    <col min="2046" max="2046" width="7.42578125" style="1" bestFit="1" customWidth="1"/>
    <col min="2047" max="2047" width="10.42578125" style="1" customWidth="1"/>
    <col min="2048" max="2048" width="10.85546875" style="1" bestFit="1" customWidth="1"/>
    <col min="2049" max="2052" width="7" style="1" customWidth="1"/>
    <col min="2053" max="2053" width="6" style="1" bestFit="1" customWidth="1"/>
    <col min="2054" max="2054" width="10.42578125" style="1" customWidth="1"/>
    <col min="2055" max="2055" width="7.42578125" style="1" bestFit="1" customWidth="1"/>
    <col min="2056" max="2056" width="10.42578125" style="1" customWidth="1"/>
    <col min="2057" max="2057" width="12" style="1" customWidth="1"/>
    <col min="2058" max="2058" width="8.85546875" style="1" customWidth="1"/>
    <col min="2059" max="2059" width="14" style="1" customWidth="1"/>
    <col min="2060" max="2292" width="9.140625" style="1"/>
    <col min="2293" max="2293" width="33.85546875" style="1" bestFit="1" customWidth="1"/>
    <col min="2294" max="2294" width="6.42578125" style="1" bestFit="1" customWidth="1"/>
    <col min="2295" max="2295" width="10.85546875" style="1" bestFit="1" customWidth="1"/>
    <col min="2296" max="2299" width="7" style="1" customWidth="1"/>
    <col min="2300" max="2300" width="6.85546875" style="1" customWidth="1"/>
    <col min="2301" max="2301" width="10.42578125" style="1" customWidth="1"/>
    <col min="2302" max="2302" width="7.42578125" style="1" bestFit="1" customWidth="1"/>
    <col min="2303" max="2303" width="10.42578125" style="1" customWidth="1"/>
    <col min="2304" max="2304" width="10.85546875" style="1" bestFit="1" customWidth="1"/>
    <col min="2305" max="2308" width="7" style="1" customWidth="1"/>
    <col min="2309" max="2309" width="6" style="1" bestFit="1" customWidth="1"/>
    <col min="2310" max="2310" width="10.42578125" style="1" customWidth="1"/>
    <col min="2311" max="2311" width="7.42578125" style="1" bestFit="1" customWidth="1"/>
    <col min="2312" max="2312" width="10.42578125" style="1" customWidth="1"/>
    <col min="2313" max="2313" width="12" style="1" customWidth="1"/>
    <col min="2314" max="2314" width="8.85546875" style="1" customWidth="1"/>
    <col min="2315" max="2315" width="14" style="1" customWidth="1"/>
    <col min="2316" max="2548" width="9.140625" style="1"/>
    <col min="2549" max="2549" width="33.85546875" style="1" bestFit="1" customWidth="1"/>
    <col min="2550" max="2550" width="6.42578125" style="1" bestFit="1" customWidth="1"/>
    <col min="2551" max="2551" width="10.85546875" style="1" bestFit="1" customWidth="1"/>
    <col min="2552" max="2555" width="7" style="1" customWidth="1"/>
    <col min="2556" max="2556" width="6.85546875" style="1" customWidth="1"/>
    <col min="2557" max="2557" width="10.42578125" style="1" customWidth="1"/>
    <col min="2558" max="2558" width="7.42578125" style="1" bestFit="1" customWidth="1"/>
    <col min="2559" max="2559" width="10.42578125" style="1" customWidth="1"/>
    <col min="2560" max="2560" width="10.85546875" style="1" bestFit="1" customWidth="1"/>
    <col min="2561" max="2564" width="7" style="1" customWidth="1"/>
    <col min="2565" max="2565" width="6" style="1" bestFit="1" customWidth="1"/>
    <col min="2566" max="2566" width="10.42578125" style="1" customWidth="1"/>
    <col min="2567" max="2567" width="7.42578125" style="1" bestFit="1" customWidth="1"/>
    <col min="2568" max="2568" width="10.42578125" style="1" customWidth="1"/>
    <col min="2569" max="2569" width="12" style="1" customWidth="1"/>
    <col min="2570" max="2570" width="8.85546875" style="1" customWidth="1"/>
    <col min="2571" max="2571" width="14" style="1" customWidth="1"/>
    <col min="2572" max="2804" width="9.140625" style="1"/>
    <col min="2805" max="2805" width="33.85546875" style="1" bestFit="1" customWidth="1"/>
    <col min="2806" max="2806" width="6.42578125" style="1" bestFit="1" customWidth="1"/>
    <col min="2807" max="2807" width="10.85546875" style="1" bestFit="1" customWidth="1"/>
    <col min="2808" max="2811" width="7" style="1" customWidth="1"/>
    <col min="2812" max="2812" width="6.85546875" style="1" customWidth="1"/>
    <col min="2813" max="2813" width="10.42578125" style="1" customWidth="1"/>
    <col min="2814" max="2814" width="7.42578125" style="1" bestFit="1" customWidth="1"/>
    <col min="2815" max="2815" width="10.42578125" style="1" customWidth="1"/>
    <col min="2816" max="2816" width="10.85546875" style="1" bestFit="1" customWidth="1"/>
    <col min="2817" max="2820" width="7" style="1" customWidth="1"/>
    <col min="2821" max="2821" width="6" style="1" bestFit="1" customWidth="1"/>
    <col min="2822" max="2822" width="10.42578125" style="1" customWidth="1"/>
    <col min="2823" max="2823" width="7.42578125" style="1" bestFit="1" customWidth="1"/>
    <col min="2824" max="2824" width="10.42578125" style="1" customWidth="1"/>
    <col min="2825" max="2825" width="12" style="1" customWidth="1"/>
    <col min="2826" max="2826" width="8.85546875" style="1" customWidth="1"/>
    <col min="2827" max="2827" width="14" style="1" customWidth="1"/>
    <col min="2828" max="3060" width="9.140625" style="1"/>
    <col min="3061" max="3061" width="33.85546875" style="1" bestFit="1" customWidth="1"/>
    <col min="3062" max="3062" width="6.42578125" style="1" bestFit="1" customWidth="1"/>
    <col min="3063" max="3063" width="10.85546875" style="1" bestFit="1" customWidth="1"/>
    <col min="3064" max="3067" width="7" style="1" customWidth="1"/>
    <col min="3068" max="3068" width="6.85546875" style="1" customWidth="1"/>
    <col min="3069" max="3069" width="10.42578125" style="1" customWidth="1"/>
    <col min="3070" max="3070" width="7.42578125" style="1" bestFit="1" customWidth="1"/>
    <col min="3071" max="3071" width="10.42578125" style="1" customWidth="1"/>
    <col min="3072" max="3072" width="10.85546875" style="1" bestFit="1" customWidth="1"/>
    <col min="3073" max="3076" width="7" style="1" customWidth="1"/>
    <col min="3077" max="3077" width="6" style="1" bestFit="1" customWidth="1"/>
    <col min="3078" max="3078" width="10.42578125" style="1" customWidth="1"/>
    <col min="3079" max="3079" width="7.42578125" style="1" bestFit="1" customWidth="1"/>
    <col min="3080" max="3080" width="10.42578125" style="1" customWidth="1"/>
    <col min="3081" max="3081" width="12" style="1" customWidth="1"/>
    <col min="3082" max="3082" width="8.85546875" style="1" customWidth="1"/>
    <col min="3083" max="3083" width="14" style="1" customWidth="1"/>
    <col min="3084" max="3316" width="9.140625" style="1"/>
    <col min="3317" max="3317" width="33.85546875" style="1" bestFit="1" customWidth="1"/>
    <col min="3318" max="3318" width="6.42578125" style="1" bestFit="1" customWidth="1"/>
    <col min="3319" max="3319" width="10.85546875" style="1" bestFit="1" customWidth="1"/>
    <col min="3320" max="3323" width="7" style="1" customWidth="1"/>
    <col min="3324" max="3324" width="6.85546875" style="1" customWidth="1"/>
    <col min="3325" max="3325" width="10.42578125" style="1" customWidth="1"/>
    <col min="3326" max="3326" width="7.42578125" style="1" bestFit="1" customWidth="1"/>
    <col min="3327" max="3327" width="10.42578125" style="1" customWidth="1"/>
    <col min="3328" max="3328" width="10.85546875" style="1" bestFit="1" customWidth="1"/>
    <col min="3329" max="3332" width="7" style="1" customWidth="1"/>
    <col min="3333" max="3333" width="6" style="1" bestFit="1" customWidth="1"/>
    <col min="3334" max="3334" width="10.42578125" style="1" customWidth="1"/>
    <col min="3335" max="3335" width="7.42578125" style="1" bestFit="1" customWidth="1"/>
    <col min="3336" max="3336" width="10.42578125" style="1" customWidth="1"/>
    <col min="3337" max="3337" width="12" style="1" customWidth="1"/>
    <col min="3338" max="3338" width="8.85546875" style="1" customWidth="1"/>
    <col min="3339" max="3339" width="14" style="1" customWidth="1"/>
    <col min="3340" max="3572" width="9.140625" style="1"/>
    <col min="3573" max="3573" width="33.85546875" style="1" bestFit="1" customWidth="1"/>
    <col min="3574" max="3574" width="6.42578125" style="1" bestFit="1" customWidth="1"/>
    <col min="3575" max="3575" width="10.85546875" style="1" bestFit="1" customWidth="1"/>
    <col min="3576" max="3579" width="7" style="1" customWidth="1"/>
    <col min="3580" max="3580" width="6.85546875" style="1" customWidth="1"/>
    <col min="3581" max="3581" width="10.42578125" style="1" customWidth="1"/>
    <col min="3582" max="3582" width="7.42578125" style="1" bestFit="1" customWidth="1"/>
    <col min="3583" max="3583" width="10.42578125" style="1" customWidth="1"/>
    <col min="3584" max="3584" width="10.85546875" style="1" bestFit="1" customWidth="1"/>
    <col min="3585" max="3588" width="7" style="1" customWidth="1"/>
    <col min="3589" max="3589" width="6" style="1" bestFit="1" customWidth="1"/>
    <col min="3590" max="3590" width="10.42578125" style="1" customWidth="1"/>
    <col min="3591" max="3591" width="7.42578125" style="1" bestFit="1" customWidth="1"/>
    <col min="3592" max="3592" width="10.42578125" style="1" customWidth="1"/>
    <col min="3593" max="3593" width="12" style="1" customWidth="1"/>
    <col min="3594" max="3594" width="8.85546875" style="1" customWidth="1"/>
    <col min="3595" max="3595" width="14" style="1" customWidth="1"/>
    <col min="3596" max="3828" width="9.140625" style="1"/>
    <col min="3829" max="3829" width="33.85546875" style="1" bestFit="1" customWidth="1"/>
    <col min="3830" max="3830" width="6.42578125" style="1" bestFit="1" customWidth="1"/>
    <col min="3831" max="3831" width="10.85546875" style="1" bestFit="1" customWidth="1"/>
    <col min="3832" max="3835" width="7" style="1" customWidth="1"/>
    <col min="3836" max="3836" width="6.85546875" style="1" customWidth="1"/>
    <col min="3837" max="3837" width="10.42578125" style="1" customWidth="1"/>
    <col min="3838" max="3838" width="7.42578125" style="1" bestFit="1" customWidth="1"/>
    <col min="3839" max="3839" width="10.42578125" style="1" customWidth="1"/>
    <col min="3840" max="3840" width="10.85546875" style="1" bestFit="1" customWidth="1"/>
    <col min="3841" max="3844" width="7" style="1" customWidth="1"/>
    <col min="3845" max="3845" width="6" style="1" bestFit="1" customWidth="1"/>
    <col min="3846" max="3846" width="10.42578125" style="1" customWidth="1"/>
    <col min="3847" max="3847" width="7.42578125" style="1" bestFit="1" customWidth="1"/>
    <col min="3848" max="3848" width="10.42578125" style="1" customWidth="1"/>
    <col min="3849" max="3849" width="12" style="1" customWidth="1"/>
    <col min="3850" max="3850" width="8.85546875" style="1" customWidth="1"/>
    <col min="3851" max="3851" width="14" style="1" customWidth="1"/>
    <col min="3852" max="4084" width="9.140625" style="1"/>
    <col min="4085" max="4085" width="33.85546875" style="1" bestFit="1" customWidth="1"/>
    <col min="4086" max="4086" width="6.42578125" style="1" bestFit="1" customWidth="1"/>
    <col min="4087" max="4087" width="10.85546875" style="1" bestFit="1" customWidth="1"/>
    <col min="4088" max="4091" width="7" style="1" customWidth="1"/>
    <col min="4092" max="4092" width="6.85546875" style="1" customWidth="1"/>
    <col min="4093" max="4093" width="10.42578125" style="1" customWidth="1"/>
    <col min="4094" max="4094" width="7.42578125" style="1" bestFit="1" customWidth="1"/>
    <col min="4095" max="4095" width="10.42578125" style="1" customWidth="1"/>
    <col min="4096" max="4096" width="10.85546875" style="1" bestFit="1" customWidth="1"/>
    <col min="4097" max="4100" width="7" style="1" customWidth="1"/>
    <col min="4101" max="4101" width="6" style="1" bestFit="1" customWidth="1"/>
    <col min="4102" max="4102" width="10.42578125" style="1" customWidth="1"/>
    <col min="4103" max="4103" width="7.42578125" style="1" bestFit="1" customWidth="1"/>
    <col min="4104" max="4104" width="10.42578125" style="1" customWidth="1"/>
    <col min="4105" max="4105" width="12" style="1" customWidth="1"/>
    <col min="4106" max="4106" width="8.85546875" style="1" customWidth="1"/>
    <col min="4107" max="4107" width="14" style="1" customWidth="1"/>
    <col min="4108" max="4340" width="9.140625" style="1"/>
    <col min="4341" max="4341" width="33.85546875" style="1" bestFit="1" customWidth="1"/>
    <col min="4342" max="4342" width="6.42578125" style="1" bestFit="1" customWidth="1"/>
    <col min="4343" max="4343" width="10.85546875" style="1" bestFit="1" customWidth="1"/>
    <col min="4344" max="4347" width="7" style="1" customWidth="1"/>
    <col min="4348" max="4348" width="6.85546875" style="1" customWidth="1"/>
    <col min="4349" max="4349" width="10.42578125" style="1" customWidth="1"/>
    <col min="4350" max="4350" width="7.42578125" style="1" bestFit="1" customWidth="1"/>
    <col min="4351" max="4351" width="10.42578125" style="1" customWidth="1"/>
    <col min="4352" max="4352" width="10.85546875" style="1" bestFit="1" customWidth="1"/>
    <col min="4353" max="4356" width="7" style="1" customWidth="1"/>
    <col min="4357" max="4357" width="6" style="1" bestFit="1" customWidth="1"/>
    <col min="4358" max="4358" width="10.42578125" style="1" customWidth="1"/>
    <col min="4359" max="4359" width="7.42578125" style="1" bestFit="1" customWidth="1"/>
    <col min="4360" max="4360" width="10.42578125" style="1" customWidth="1"/>
    <col min="4361" max="4361" width="12" style="1" customWidth="1"/>
    <col min="4362" max="4362" width="8.85546875" style="1" customWidth="1"/>
    <col min="4363" max="4363" width="14" style="1" customWidth="1"/>
    <col min="4364" max="4596" width="9.140625" style="1"/>
    <col min="4597" max="4597" width="33.85546875" style="1" bestFit="1" customWidth="1"/>
    <col min="4598" max="4598" width="6.42578125" style="1" bestFit="1" customWidth="1"/>
    <col min="4599" max="4599" width="10.85546875" style="1" bestFit="1" customWidth="1"/>
    <col min="4600" max="4603" width="7" style="1" customWidth="1"/>
    <col min="4604" max="4604" width="6.85546875" style="1" customWidth="1"/>
    <col min="4605" max="4605" width="10.42578125" style="1" customWidth="1"/>
    <col min="4606" max="4606" width="7.42578125" style="1" bestFit="1" customWidth="1"/>
    <col min="4607" max="4607" width="10.42578125" style="1" customWidth="1"/>
    <col min="4608" max="4608" width="10.85546875" style="1" bestFit="1" customWidth="1"/>
    <col min="4609" max="4612" width="7" style="1" customWidth="1"/>
    <col min="4613" max="4613" width="6" style="1" bestFit="1" customWidth="1"/>
    <col min="4614" max="4614" width="10.42578125" style="1" customWidth="1"/>
    <col min="4615" max="4615" width="7.42578125" style="1" bestFit="1" customWidth="1"/>
    <col min="4616" max="4616" width="10.42578125" style="1" customWidth="1"/>
    <col min="4617" max="4617" width="12" style="1" customWidth="1"/>
    <col min="4618" max="4618" width="8.85546875" style="1" customWidth="1"/>
    <col min="4619" max="4619" width="14" style="1" customWidth="1"/>
    <col min="4620" max="4852" width="9.140625" style="1"/>
    <col min="4853" max="4853" width="33.85546875" style="1" bestFit="1" customWidth="1"/>
    <col min="4854" max="4854" width="6.42578125" style="1" bestFit="1" customWidth="1"/>
    <col min="4855" max="4855" width="10.85546875" style="1" bestFit="1" customWidth="1"/>
    <col min="4856" max="4859" width="7" style="1" customWidth="1"/>
    <col min="4860" max="4860" width="6.85546875" style="1" customWidth="1"/>
    <col min="4861" max="4861" width="10.42578125" style="1" customWidth="1"/>
    <col min="4862" max="4862" width="7.42578125" style="1" bestFit="1" customWidth="1"/>
    <col min="4863" max="4863" width="10.42578125" style="1" customWidth="1"/>
    <col min="4864" max="4864" width="10.85546875" style="1" bestFit="1" customWidth="1"/>
    <col min="4865" max="4868" width="7" style="1" customWidth="1"/>
    <col min="4869" max="4869" width="6" style="1" bestFit="1" customWidth="1"/>
    <col min="4870" max="4870" width="10.42578125" style="1" customWidth="1"/>
    <col min="4871" max="4871" width="7.42578125" style="1" bestFit="1" customWidth="1"/>
    <col min="4872" max="4872" width="10.42578125" style="1" customWidth="1"/>
    <col min="4873" max="4873" width="12" style="1" customWidth="1"/>
    <col min="4874" max="4874" width="8.85546875" style="1" customWidth="1"/>
    <col min="4875" max="4875" width="14" style="1" customWidth="1"/>
    <col min="4876" max="5108" width="9.140625" style="1"/>
    <col min="5109" max="5109" width="33.85546875" style="1" bestFit="1" customWidth="1"/>
    <col min="5110" max="5110" width="6.42578125" style="1" bestFit="1" customWidth="1"/>
    <col min="5111" max="5111" width="10.85546875" style="1" bestFit="1" customWidth="1"/>
    <col min="5112" max="5115" width="7" style="1" customWidth="1"/>
    <col min="5116" max="5116" width="6.85546875" style="1" customWidth="1"/>
    <col min="5117" max="5117" width="10.42578125" style="1" customWidth="1"/>
    <col min="5118" max="5118" width="7.42578125" style="1" bestFit="1" customWidth="1"/>
    <col min="5119" max="5119" width="10.42578125" style="1" customWidth="1"/>
    <col min="5120" max="5120" width="10.85546875" style="1" bestFit="1" customWidth="1"/>
    <col min="5121" max="5124" width="7" style="1" customWidth="1"/>
    <col min="5125" max="5125" width="6" style="1" bestFit="1" customWidth="1"/>
    <col min="5126" max="5126" width="10.42578125" style="1" customWidth="1"/>
    <col min="5127" max="5127" width="7.42578125" style="1" bestFit="1" customWidth="1"/>
    <col min="5128" max="5128" width="10.42578125" style="1" customWidth="1"/>
    <col min="5129" max="5129" width="12" style="1" customWidth="1"/>
    <col min="5130" max="5130" width="8.85546875" style="1" customWidth="1"/>
    <col min="5131" max="5131" width="14" style="1" customWidth="1"/>
    <col min="5132" max="5364" width="9.140625" style="1"/>
    <col min="5365" max="5365" width="33.85546875" style="1" bestFit="1" customWidth="1"/>
    <col min="5366" max="5366" width="6.42578125" style="1" bestFit="1" customWidth="1"/>
    <col min="5367" max="5367" width="10.85546875" style="1" bestFit="1" customWidth="1"/>
    <col min="5368" max="5371" width="7" style="1" customWidth="1"/>
    <col min="5372" max="5372" width="6.85546875" style="1" customWidth="1"/>
    <col min="5373" max="5373" width="10.42578125" style="1" customWidth="1"/>
    <col min="5374" max="5374" width="7.42578125" style="1" bestFit="1" customWidth="1"/>
    <col min="5375" max="5375" width="10.42578125" style="1" customWidth="1"/>
    <col min="5376" max="5376" width="10.85546875" style="1" bestFit="1" customWidth="1"/>
    <col min="5377" max="5380" width="7" style="1" customWidth="1"/>
    <col min="5381" max="5381" width="6" style="1" bestFit="1" customWidth="1"/>
    <col min="5382" max="5382" width="10.42578125" style="1" customWidth="1"/>
    <col min="5383" max="5383" width="7.42578125" style="1" bestFit="1" customWidth="1"/>
    <col min="5384" max="5384" width="10.42578125" style="1" customWidth="1"/>
    <col min="5385" max="5385" width="12" style="1" customWidth="1"/>
    <col min="5386" max="5386" width="8.85546875" style="1" customWidth="1"/>
    <col min="5387" max="5387" width="14" style="1" customWidth="1"/>
    <col min="5388" max="5620" width="9.140625" style="1"/>
    <col min="5621" max="5621" width="33.85546875" style="1" bestFit="1" customWidth="1"/>
    <col min="5622" max="5622" width="6.42578125" style="1" bestFit="1" customWidth="1"/>
    <col min="5623" max="5623" width="10.85546875" style="1" bestFit="1" customWidth="1"/>
    <col min="5624" max="5627" width="7" style="1" customWidth="1"/>
    <col min="5628" max="5628" width="6.85546875" style="1" customWidth="1"/>
    <col min="5629" max="5629" width="10.42578125" style="1" customWidth="1"/>
    <col min="5630" max="5630" width="7.42578125" style="1" bestFit="1" customWidth="1"/>
    <col min="5631" max="5631" width="10.42578125" style="1" customWidth="1"/>
    <col min="5632" max="5632" width="10.85546875" style="1" bestFit="1" customWidth="1"/>
    <col min="5633" max="5636" width="7" style="1" customWidth="1"/>
    <col min="5637" max="5637" width="6" style="1" bestFit="1" customWidth="1"/>
    <col min="5638" max="5638" width="10.42578125" style="1" customWidth="1"/>
    <col min="5639" max="5639" width="7.42578125" style="1" bestFit="1" customWidth="1"/>
    <col min="5640" max="5640" width="10.42578125" style="1" customWidth="1"/>
    <col min="5641" max="5641" width="12" style="1" customWidth="1"/>
    <col min="5642" max="5642" width="8.85546875" style="1" customWidth="1"/>
    <col min="5643" max="5643" width="14" style="1" customWidth="1"/>
    <col min="5644" max="5876" width="9.140625" style="1"/>
    <col min="5877" max="5877" width="33.85546875" style="1" bestFit="1" customWidth="1"/>
    <col min="5878" max="5878" width="6.42578125" style="1" bestFit="1" customWidth="1"/>
    <col min="5879" max="5879" width="10.85546875" style="1" bestFit="1" customWidth="1"/>
    <col min="5880" max="5883" width="7" style="1" customWidth="1"/>
    <col min="5884" max="5884" width="6.85546875" style="1" customWidth="1"/>
    <col min="5885" max="5885" width="10.42578125" style="1" customWidth="1"/>
    <col min="5886" max="5886" width="7.42578125" style="1" bestFit="1" customWidth="1"/>
    <col min="5887" max="5887" width="10.42578125" style="1" customWidth="1"/>
    <col min="5888" max="5888" width="10.85546875" style="1" bestFit="1" customWidth="1"/>
    <col min="5889" max="5892" width="7" style="1" customWidth="1"/>
    <col min="5893" max="5893" width="6" style="1" bestFit="1" customWidth="1"/>
    <col min="5894" max="5894" width="10.42578125" style="1" customWidth="1"/>
    <col min="5895" max="5895" width="7.42578125" style="1" bestFit="1" customWidth="1"/>
    <col min="5896" max="5896" width="10.42578125" style="1" customWidth="1"/>
    <col min="5897" max="5897" width="12" style="1" customWidth="1"/>
    <col min="5898" max="5898" width="8.85546875" style="1" customWidth="1"/>
    <col min="5899" max="5899" width="14" style="1" customWidth="1"/>
    <col min="5900" max="6132" width="9.140625" style="1"/>
    <col min="6133" max="6133" width="33.85546875" style="1" bestFit="1" customWidth="1"/>
    <col min="6134" max="6134" width="6.42578125" style="1" bestFit="1" customWidth="1"/>
    <col min="6135" max="6135" width="10.85546875" style="1" bestFit="1" customWidth="1"/>
    <col min="6136" max="6139" width="7" style="1" customWidth="1"/>
    <col min="6140" max="6140" width="6.85546875" style="1" customWidth="1"/>
    <col min="6141" max="6141" width="10.42578125" style="1" customWidth="1"/>
    <col min="6142" max="6142" width="7.42578125" style="1" bestFit="1" customWidth="1"/>
    <col min="6143" max="6143" width="10.42578125" style="1" customWidth="1"/>
    <col min="6144" max="6144" width="10.85546875" style="1" bestFit="1" customWidth="1"/>
    <col min="6145" max="6148" width="7" style="1" customWidth="1"/>
    <col min="6149" max="6149" width="6" style="1" bestFit="1" customWidth="1"/>
    <col min="6150" max="6150" width="10.42578125" style="1" customWidth="1"/>
    <col min="6151" max="6151" width="7.42578125" style="1" bestFit="1" customWidth="1"/>
    <col min="6152" max="6152" width="10.42578125" style="1" customWidth="1"/>
    <col min="6153" max="6153" width="12" style="1" customWidth="1"/>
    <col min="6154" max="6154" width="8.85546875" style="1" customWidth="1"/>
    <col min="6155" max="6155" width="14" style="1" customWidth="1"/>
    <col min="6156" max="6388" width="9.140625" style="1"/>
    <col min="6389" max="6389" width="33.85546875" style="1" bestFit="1" customWidth="1"/>
    <col min="6390" max="6390" width="6.42578125" style="1" bestFit="1" customWidth="1"/>
    <col min="6391" max="6391" width="10.85546875" style="1" bestFit="1" customWidth="1"/>
    <col min="6392" max="6395" width="7" style="1" customWidth="1"/>
    <col min="6396" max="6396" width="6.85546875" style="1" customWidth="1"/>
    <col min="6397" max="6397" width="10.42578125" style="1" customWidth="1"/>
    <col min="6398" max="6398" width="7.42578125" style="1" bestFit="1" customWidth="1"/>
    <col min="6399" max="6399" width="10.42578125" style="1" customWidth="1"/>
    <col min="6400" max="6400" width="10.85546875" style="1" bestFit="1" customWidth="1"/>
    <col min="6401" max="6404" width="7" style="1" customWidth="1"/>
    <col min="6405" max="6405" width="6" style="1" bestFit="1" customWidth="1"/>
    <col min="6406" max="6406" width="10.42578125" style="1" customWidth="1"/>
    <col min="6407" max="6407" width="7.42578125" style="1" bestFit="1" customWidth="1"/>
    <col min="6408" max="6408" width="10.42578125" style="1" customWidth="1"/>
    <col min="6409" max="6409" width="12" style="1" customWidth="1"/>
    <col min="6410" max="6410" width="8.85546875" style="1" customWidth="1"/>
    <col min="6411" max="6411" width="14" style="1" customWidth="1"/>
    <col min="6412" max="6644" width="9.140625" style="1"/>
    <col min="6645" max="6645" width="33.85546875" style="1" bestFit="1" customWidth="1"/>
    <col min="6646" max="6646" width="6.42578125" style="1" bestFit="1" customWidth="1"/>
    <col min="6647" max="6647" width="10.85546875" style="1" bestFit="1" customWidth="1"/>
    <col min="6648" max="6651" width="7" style="1" customWidth="1"/>
    <col min="6652" max="6652" width="6.85546875" style="1" customWidth="1"/>
    <col min="6653" max="6653" width="10.42578125" style="1" customWidth="1"/>
    <col min="6654" max="6654" width="7.42578125" style="1" bestFit="1" customWidth="1"/>
    <col min="6655" max="6655" width="10.42578125" style="1" customWidth="1"/>
    <col min="6656" max="6656" width="10.85546875" style="1" bestFit="1" customWidth="1"/>
    <col min="6657" max="6660" width="7" style="1" customWidth="1"/>
    <col min="6661" max="6661" width="6" style="1" bestFit="1" customWidth="1"/>
    <col min="6662" max="6662" width="10.42578125" style="1" customWidth="1"/>
    <col min="6663" max="6663" width="7.42578125" style="1" bestFit="1" customWidth="1"/>
    <col min="6664" max="6664" width="10.42578125" style="1" customWidth="1"/>
    <col min="6665" max="6665" width="12" style="1" customWidth="1"/>
    <col min="6666" max="6666" width="8.85546875" style="1" customWidth="1"/>
    <col min="6667" max="6667" width="14" style="1" customWidth="1"/>
    <col min="6668" max="6900" width="9.140625" style="1"/>
    <col min="6901" max="6901" width="33.85546875" style="1" bestFit="1" customWidth="1"/>
    <col min="6902" max="6902" width="6.42578125" style="1" bestFit="1" customWidth="1"/>
    <col min="6903" max="6903" width="10.85546875" style="1" bestFit="1" customWidth="1"/>
    <col min="6904" max="6907" width="7" style="1" customWidth="1"/>
    <col min="6908" max="6908" width="6.85546875" style="1" customWidth="1"/>
    <col min="6909" max="6909" width="10.42578125" style="1" customWidth="1"/>
    <col min="6910" max="6910" width="7.42578125" style="1" bestFit="1" customWidth="1"/>
    <col min="6911" max="6911" width="10.42578125" style="1" customWidth="1"/>
    <col min="6912" max="6912" width="10.85546875" style="1" bestFit="1" customWidth="1"/>
    <col min="6913" max="6916" width="7" style="1" customWidth="1"/>
    <col min="6917" max="6917" width="6" style="1" bestFit="1" customWidth="1"/>
    <col min="6918" max="6918" width="10.42578125" style="1" customWidth="1"/>
    <col min="6919" max="6919" width="7.42578125" style="1" bestFit="1" customWidth="1"/>
    <col min="6920" max="6920" width="10.42578125" style="1" customWidth="1"/>
    <col min="6921" max="6921" width="12" style="1" customWidth="1"/>
    <col min="6922" max="6922" width="8.85546875" style="1" customWidth="1"/>
    <col min="6923" max="6923" width="14" style="1" customWidth="1"/>
    <col min="6924" max="7156" width="9.140625" style="1"/>
    <col min="7157" max="7157" width="33.85546875" style="1" bestFit="1" customWidth="1"/>
    <col min="7158" max="7158" width="6.42578125" style="1" bestFit="1" customWidth="1"/>
    <col min="7159" max="7159" width="10.85546875" style="1" bestFit="1" customWidth="1"/>
    <col min="7160" max="7163" width="7" style="1" customWidth="1"/>
    <col min="7164" max="7164" width="6.85546875" style="1" customWidth="1"/>
    <col min="7165" max="7165" width="10.42578125" style="1" customWidth="1"/>
    <col min="7166" max="7166" width="7.42578125" style="1" bestFit="1" customWidth="1"/>
    <col min="7167" max="7167" width="10.42578125" style="1" customWidth="1"/>
    <col min="7168" max="7168" width="10.85546875" style="1" bestFit="1" customWidth="1"/>
    <col min="7169" max="7172" width="7" style="1" customWidth="1"/>
    <col min="7173" max="7173" width="6" style="1" bestFit="1" customWidth="1"/>
    <col min="7174" max="7174" width="10.42578125" style="1" customWidth="1"/>
    <col min="7175" max="7175" width="7.42578125" style="1" bestFit="1" customWidth="1"/>
    <col min="7176" max="7176" width="10.42578125" style="1" customWidth="1"/>
    <col min="7177" max="7177" width="12" style="1" customWidth="1"/>
    <col min="7178" max="7178" width="8.85546875" style="1" customWidth="1"/>
    <col min="7179" max="7179" width="14" style="1" customWidth="1"/>
    <col min="7180" max="7412" width="9.140625" style="1"/>
    <col min="7413" max="7413" width="33.85546875" style="1" bestFit="1" customWidth="1"/>
    <col min="7414" max="7414" width="6.42578125" style="1" bestFit="1" customWidth="1"/>
    <col min="7415" max="7415" width="10.85546875" style="1" bestFit="1" customWidth="1"/>
    <col min="7416" max="7419" width="7" style="1" customWidth="1"/>
    <col min="7420" max="7420" width="6.85546875" style="1" customWidth="1"/>
    <col min="7421" max="7421" width="10.42578125" style="1" customWidth="1"/>
    <col min="7422" max="7422" width="7.42578125" style="1" bestFit="1" customWidth="1"/>
    <col min="7423" max="7423" width="10.42578125" style="1" customWidth="1"/>
    <col min="7424" max="7424" width="10.85546875" style="1" bestFit="1" customWidth="1"/>
    <col min="7425" max="7428" width="7" style="1" customWidth="1"/>
    <col min="7429" max="7429" width="6" style="1" bestFit="1" customWidth="1"/>
    <col min="7430" max="7430" width="10.42578125" style="1" customWidth="1"/>
    <col min="7431" max="7431" width="7.42578125" style="1" bestFit="1" customWidth="1"/>
    <col min="7432" max="7432" width="10.42578125" style="1" customWidth="1"/>
    <col min="7433" max="7433" width="12" style="1" customWidth="1"/>
    <col min="7434" max="7434" width="8.85546875" style="1" customWidth="1"/>
    <col min="7435" max="7435" width="14" style="1" customWidth="1"/>
    <col min="7436" max="7668" width="9.140625" style="1"/>
    <col min="7669" max="7669" width="33.85546875" style="1" bestFit="1" customWidth="1"/>
    <col min="7670" max="7670" width="6.42578125" style="1" bestFit="1" customWidth="1"/>
    <col min="7671" max="7671" width="10.85546875" style="1" bestFit="1" customWidth="1"/>
    <col min="7672" max="7675" width="7" style="1" customWidth="1"/>
    <col min="7676" max="7676" width="6.85546875" style="1" customWidth="1"/>
    <col min="7677" max="7677" width="10.42578125" style="1" customWidth="1"/>
    <col min="7678" max="7678" width="7.42578125" style="1" bestFit="1" customWidth="1"/>
    <col min="7679" max="7679" width="10.42578125" style="1" customWidth="1"/>
    <col min="7680" max="7680" width="10.85546875" style="1" bestFit="1" customWidth="1"/>
    <col min="7681" max="7684" width="7" style="1" customWidth="1"/>
    <col min="7685" max="7685" width="6" style="1" bestFit="1" customWidth="1"/>
    <col min="7686" max="7686" width="10.42578125" style="1" customWidth="1"/>
    <col min="7687" max="7687" width="7.42578125" style="1" bestFit="1" customWidth="1"/>
    <col min="7688" max="7688" width="10.42578125" style="1" customWidth="1"/>
    <col min="7689" max="7689" width="12" style="1" customWidth="1"/>
    <col min="7690" max="7690" width="8.85546875" style="1" customWidth="1"/>
    <col min="7691" max="7691" width="14" style="1" customWidth="1"/>
    <col min="7692" max="7924" width="9.140625" style="1"/>
    <col min="7925" max="7925" width="33.85546875" style="1" bestFit="1" customWidth="1"/>
    <col min="7926" max="7926" width="6.42578125" style="1" bestFit="1" customWidth="1"/>
    <col min="7927" max="7927" width="10.85546875" style="1" bestFit="1" customWidth="1"/>
    <col min="7928" max="7931" width="7" style="1" customWidth="1"/>
    <col min="7932" max="7932" width="6.85546875" style="1" customWidth="1"/>
    <col min="7933" max="7933" width="10.42578125" style="1" customWidth="1"/>
    <col min="7934" max="7934" width="7.42578125" style="1" bestFit="1" customWidth="1"/>
    <col min="7935" max="7935" width="10.42578125" style="1" customWidth="1"/>
    <col min="7936" max="7936" width="10.85546875" style="1" bestFit="1" customWidth="1"/>
    <col min="7937" max="7940" width="7" style="1" customWidth="1"/>
    <col min="7941" max="7941" width="6" style="1" bestFit="1" customWidth="1"/>
    <col min="7942" max="7942" width="10.42578125" style="1" customWidth="1"/>
    <col min="7943" max="7943" width="7.42578125" style="1" bestFit="1" customWidth="1"/>
    <col min="7944" max="7944" width="10.42578125" style="1" customWidth="1"/>
    <col min="7945" max="7945" width="12" style="1" customWidth="1"/>
    <col min="7946" max="7946" width="8.85546875" style="1" customWidth="1"/>
    <col min="7947" max="7947" width="14" style="1" customWidth="1"/>
    <col min="7948" max="8180" width="9.140625" style="1"/>
    <col min="8181" max="8181" width="33.85546875" style="1" bestFit="1" customWidth="1"/>
    <col min="8182" max="8182" width="6.42578125" style="1" bestFit="1" customWidth="1"/>
    <col min="8183" max="8183" width="10.85546875" style="1" bestFit="1" customWidth="1"/>
    <col min="8184" max="8187" width="7" style="1" customWidth="1"/>
    <col min="8188" max="8188" width="6.85546875" style="1" customWidth="1"/>
    <col min="8189" max="8189" width="10.42578125" style="1" customWidth="1"/>
    <col min="8190" max="8190" width="7.42578125" style="1" bestFit="1" customWidth="1"/>
    <col min="8191" max="8191" width="10.42578125" style="1" customWidth="1"/>
    <col min="8192" max="8192" width="10.85546875" style="1" bestFit="1" customWidth="1"/>
    <col min="8193" max="8196" width="7" style="1" customWidth="1"/>
    <col min="8197" max="8197" width="6" style="1" bestFit="1" customWidth="1"/>
    <col min="8198" max="8198" width="10.42578125" style="1" customWidth="1"/>
    <col min="8199" max="8199" width="7.42578125" style="1" bestFit="1" customWidth="1"/>
    <col min="8200" max="8200" width="10.42578125" style="1" customWidth="1"/>
    <col min="8201" max="8201" width="12" style="1" customWidth="1"/>
    <col min="8202" max="8202" width="8.85546875" style="1" customWidth="1"/>
    <col min="8203" max="8203" width="14" style="1" customWidth="1"/>
    <col min="8204" max="8436" width="9.140625" style="1"/>
    <col min="8437" max="8437" width="33.85546875" style="1" bestFit="1" customWidth="1"/>
    <col min="8438" max="8438" width="6.42578125" style="1" bestFit="1" customWidth="1"/>
    <col min="8439" max="8439" width="10.85546875" style="1" bestFit="1" customWidth="1"/>
    <col min="8440" max="8443" width="7" style="1" customWidth="1"/>
    <col min="8444" max="8444" width="6.85546875" style="1" customWidth="1"/>
    <col min="8445" max="8445" width="10.42578125" style="1" customWidth="1"/>
    <col min="8446" max="8446" width="7.42578125" style="1" bestFit="1" customWidth="1"/>
    <col min="8447" max="8447" width="10.42578125" style="1" customWidth="1"/>
    <col min="8448" max="8448" width="10.85546875" style="1" bestFit="1" customWidth="1"/>
    <col min="8449" max="8452" width="7" style="1" customWidth="1"/>
    <col min="8453" max="8453" width="6" style="1" bestFit="1" customWidth="1"/>
    <col min="8454" max="8454" width="10.42578125" style="1" customWidth="1"/>
    <col min="8455" max="8455" width="7.42578125" style="1" bestFit="1" customWidth="1"/>
    <col min="8456" max="8456" width="10.42578125" style="1" customWidth="1"/>
    <col min="8457" max="8457" width="12" style="1" customWidth="1"/>
    <col min="8458" max="8458" width="8.85546875" style="1" customWidth="1"/>
    <col min="8459" max="8459" width="14" style="1" customWidth="1"/>
    <col min="8460" max="8692" width="9.140625" style="1"/>
    <col min="8693" max="8693" width="33.85546875" style="1" bestFit="1" customWidth="1"/>
    <col min="8694" max="8694" width="6.42578125" style="1" bestFit="1" customWidth="1"/>
    <col min="8695" max="8695" width="10.85546875" style="1" bestFit="1" customWidth="1"/>
    <col min="8696" max="8699" width="7" style="1" customWidth="1"/>
    <col min="8700" max="8700" width="6.85546875" style="1" customWidth="1"/>
    <col min="8701" max="8701" width="10.42578125" style="1" customWidth="1"/>
    <col min="8702" max="8702" width="7.42578125" style="1" bestFit="1" customWidth="1"/>
    <col min="8703" max="8703" width="10.42578125" style="1" customWidth="1"/>
    <col min="8704" max="8704" width="10.85546875" style="1" bestFit="1" customWidth="1"/>
    <col min="8705" max="8708" width="7" style="1" customWidth="1"/>
    <col min="8709" max="8709" width="6" style="1" bestFit="1" customWidth="1"/>
    <col min="8710" max="8710" width="10.42578125" style="1" customWidth="1"/>
    <col min="8711" max="8711" width="7.42578125" style="1" bestFit="1" customWidth="1"/>
    <col min="8712" max="8712" width="10.42578125" style="1" customWidth="1"/>
    <col min="8713" max="8713" width="12" style="1" customWidth="1"/>
    <col min="8714" max="8714" width="8.85546875" style="1" customWidth="1"/>
    <col min="8715" max="8715" width="14" style="1" customWidth="1"/>
    <col min="8716" max="8948" width="9.140625" style="1"/>
    <col min="8949" max="8949" width="33.85546875" style="1" bestFit="1" customWidth="1"/>
    <col min="8950" max="8950" width="6.42578125" style="1" bestFit="1" customWidth="1"/>
    <col min="8951" max="8951" width="10.85546875" style="1" bestFit="1" customWidth="1"/>
    <col min="8952" max="8955" width="7" style="1" customWidth="1"/>
    <col min="8956" max="8956" width="6.85546875" style="1" customWidth="1"/>
    <col min="8957" max="8957" width="10.42578125" style="1" customWidth="1"/>
    <col min="8958" max="8958" width="7.42578125" style="1" bestFit="1" customWidth="1"/>
    <col min="8959" max="8959" width="10.42578125" style="1" customWidth="1"/>
    <col min="8960" max="8960" width="10.85546875" style="1" bestFit="1" customWidth="1"/>
    <col min="8961" max="8964" width="7" style="1" customWidth="1"/>
    <col min="8965" max="8965" width="6" style="1" bestFit="1" customWidth="1"/>
    <col min="8966" max="8966" width="10.42578125" style="1" customWidth="1"/>
    <col min="8967" max="8967" width="7.42578125" style="1" bestFit="1" customWidth="1"/>
    <col min="8968" max="8968" width="10.42578125" style="1" customWidth="1"/>
    <col min="8969" max="8969" width="12" style="1" customWidth="1"/>
    <col min="8970" max="8970" width="8.85546875" style="1" customWidth="1"/>
    <col min="8971" max="8971" width="14" style="1" customWidth="1"/>
    <col min="8972" max="9204" width="9.140625" style="1"/>
    <col min="9205" max="9205" width="33.85546875" style="1" bestFit="1" customWidth="1"/>
    <col min="9206" max="9206" width="6.42578125" style="1" bestFit="1" customWidth="1"/>
    <col min="9207" max="9207" width="10.85546875" style="1" bestFit="1" customWidth="1"/>
    <col min="9208" max="9211" width="7" style="1" customWidth="1"/>
    <col min="9212" max="9212" width="6.85546875" style="1" customWidth="1"/>
    <col min="9213" max="9213" width="10.42578125" style="1" customWidth="1"/>
    <col min="9214" max="9214" width="7.42578125" style="1" bestFit="1" customWidth="1"/>
    <col min="9215" max="9215" width="10.42578125" style="1" customWidth="1"/>
    <col min="9216" max="9216" width="10.85546875" style="1" bestFit="1" customWidth="1"/>
    <col min="9217" max="9220" width="7" style="1" customWidth="1"/>
    <col min="9221" max="9221" width="6" style="1" bestFit="1" customWidth="1"/>
    <col min="9222" max="9222" width="10.42578125" style="1" customWidth="1"/>
    <col min="9223" max="9223" width="7.42578125" style="1" bestFit="1" customWidth="1"/>
    <col min="9224" max="9224" width="10.42578125" style="1" customWidth="1"/>
    <col min="9225" max="9225" width="12" style="1" customWidth="1"/>
    <col min="9226" max="9226" width="8.85546875" style="1" customWidth="1"/>
    <col min="9227" max="9227" width="14" style="1" customWidth="1"/>
    <col min="9228" max="9460" width="9.140625" style="1"/>
    <col min="9461" max="9461" width="33.85546875" style="1" bestFit="1" customWidth="1"/>
    <col min="9462" max="9462" width="6.42578125" style="1" bestFit="1" customWidth="1"/>
    <col min="9463" max="9463" width="10.85546875" style="1" bestFit="1" customWidth="1"/>
    <col min="9464" max="9467" width="7" style="1" customWidth="1"/>
    <col min="9468" max="9468" width="6.85546875" style="1" customWidth="1"/>
    <col min="9469" max="9469" width="10.42578125" style="1" customWidth="1"/>
    <col min="9470" max="9470" width="7.42578125" style="1" bestFit="1" customWidth="1"/>
    <col min="9471" max="9471" width="10.42578125" style="1" customWidth="1"/>
    <col min="9472" max="9472" width="10.85546875" style="1" bestFit="1" customWidth="1"/>
    <col min="9473" max="9476" width="7" style="1" customWidth="1"/>
    <col min="9477" max="9477" width="6" style="1" bestFit="1" customWidth="1"/>
    <col min="9478" max="9478" width="10.42578125" style="1" customWidth="1"/>
    <col min="9479" max="9479" width="7.42578125" style="1" bestFit="1" customWidth="1"/>
    <col min="9480" max="9480" width="10.42578125" style="1" customWidth="1"/>
    <col min="9481" max="9481" width="12" style="1" customWidth="1"/>
    <col min="9482" max="9482" width="8.85546875" style="1" customWidth="1"/>
    <col min="9483" max="9483" width="14" style="1" customWidth="1"/>
    <col min="9484" max="9716" width="9.140625" style="1"/>
    <col min="9717" max="9717" width="33.85546875" style="1" bestFit="1" customWidth="1"/>
    <col min="9718" max="9718" width="6.42578125" style="1" bestFit="1" customWidth="1"/>
    <col min="9719" max="9719" width="10.85546875" style="1" bestFit="1" customWidth="1"/>
    <col min="9720" max="9723" width="7" style="1" customWidth="1"/>
    <col min="9724" max="9724" width="6.85546875" style="1" customWidth="1"/>
    <col min="9725" max="9725" width="10.42578125" style="1" customWidth="1"/>
    <col min="9726" max="9726" width="7.42578125" style="1" bestFit="1" customWidth="1"/>
    <col min="9727" max="9727" width="10.42578125" style="1" customWidth="1"/>
    <col min="9728" max="9728" width="10.85546875" style="1" bestFit="1" customWidth="1"/>
    <col min="9729" max="9732" width="7" style="1" customWidth="1"/>
    <col min="9733" max="9733" width="6" style="1" bestFit="1" customWidth="1"/>
    <col min="9734" max="9734" width="10.42578125" style="1" customWidth="1"/>
    <col min="9735" max="9735" width="7.42578125" style="1" bestFit="1" customWidth="1"/>
    <col min="9736" max="9736" width="10.42578125" style="1" customWidth="1"/>
    <col min="9737" max="9737" width="12" style="1" customWidth="1"/>
    <col min="9738" max="9738" width="8.85546875" style="1" customWidth="1"/>
    <col min="9739" max="9739" width="14" style="1" customWidth="1"/>
    <col min="9740" max="9972" width="9.140625" style="1"/>
    <col min="9973" max="9973" width="33.85546875" style="1" bestFit="1" customWidth="1"/>
    <col min="9974" max="9974" width="6.42578125" style="1" bestFit="1" customWidth="1"/>
    <col min="9975" max="9975" width="10.85546875" style="1" bestFit="1" customWidth="1"/>
    <col min="9976" max="9979" width="7" style="1" customWidth="1"/>
    <col min="9980" max="9980" width="6.85546875" style="1" customWidth="1"/>
    <col min="9981" max="9981" width="10.42578125" style="1" customWidth="1"/>
    <col min="9982" max="9982" width="7.42578125" style="1" bestFit="1" customWidth="1"/>
    <col min="9983" max="9983" width="10.42578125" style="1" customWidth="1"/>
    <col min="9984" max="9984" width="10.85546875" style="1" bestFit="1" customWidth="1"/>
    <col min="9985" max="9988" width="7" style="1" customWidth="1"/>
    <col min="9989" max="9989" width="6" style="1" bestFit="1" customWidth="1"/>
    <col min="9990" max="9990" width="10.42578125" style="1" customWidth="1"/>
    <col min="9991" max="9991" width="7.42578125" style="1" bestFit="1" customWidth="1"/>
    <col min="9992" max="9992" width="10.42578125" style="1" customWidth="1"/>
    <col min="9993" max="9993" width="12" style="1" customWidth="1"/>
    <col min="9994" max="9994" width="8.85546875" style="1" customWidth="1"/>
    <col min="9995" max="9995" width="14" style="1" customWidth="1"/>
    <col min="9996" max="10228" width="9.140625" style="1"/>
    <col min="10229" max="10229" width="33.85546875" style="1" bestFit="1" customWidth="1"/>
    <col min="10230" max="10230" width="6.42578125" style="1" bestFit="1" customWidth="1"/>
    <col min="10231" max="10231" width="10.85546875" style="1" bestFit="1" customWidth="1"/>
    <col min="10232" max="10235" width="7" style="1" customWidth="1"/>
    <col min="10236" max="10236" width="6.85546875" style="1" customWidth="1"/>
    <col min="10237" max="10237" width="10.42578125" style="1" customWidth="1"/>
    <col min="10238" max="10238" width="7.42578125" style="1" bestFit="1" customWidth="1"/>
    <col min="10239" max="10239" width="10.42578125" style="1" customWidth="1"/>
    <col min="10240" max="10240" width="10.85546875" style="1" bestFit="1" customWidth="1"/>
    <col min="10241" max="10244" width="7" style="1" customWidth="1"/>
    <col min="10245" max="10245" width="6" style="1" bestFit="1" customWidth="1"/>
    <col min="10246" max="10246" width="10.42578125" style="1" customWidth="1"/>
    <col min="10247" max="10247" width="7.42578125" style="1" bestFit="1" customWidth="1"/>
    <col min="10248" max="10248" width="10.42578125" style="1" customWidth="1"/>
    <col min="10249" max="10249" width="12" style="1" customWidth="1"/>
    <col min="10250" max="10250" width="8.85546875" style="1" customWidth="1"/>
    <col min="10251" max="10251" width="14" style="1" customWidth="1"/>
    <col min="10252" max="10484" width="9.140625" style="1"/>
    <col min="10485" max="10485" width="33.85546875" style="1" bestFit="1" customWidth="1"/>
    <col min="10486" max="10486" width="6.42578125" style="1" bestFit="1" customWidth="1"/>
    <col min="10487" max="10487" width="10.85546875" style="1" bestFit="1" customWidth="1"/>
    <col min="10488" max="10491" width="7" style="1" customWidth="1"/>
    <col min="10492" max="10492" width="6.85546875" style="1" customWidth="1"/>
    <col min="10493" max="10493" width="10.42578125" style="1" customWidth="1"/>
    <col min="10494" max="10494" width="7.42578125" style="1" bestFit="1" customWidth="1"/>
    <col min="10495" max="10495" width="10.42578125" style="1" customWidth="1"/>
    <col min="10496" max="10496" width="10.85546875" style="1" bestFit="1" customWidth="1"/>
    <col min="10497" max="10500" width="7" style="1" customWidth="1"/>
    <col min="10501" max="10501" width="6" style="1" bestFit="1" customWidth="1"/>
    <col min="10502" max="10502" width="10.42578125" style="1" customWidth="1"/>
    <col min="10503" max="10503" width="7.42578125" style="1" bestFit="1" customWidth="1"/>
    <col min="10504" max="10504" width="10.42578125" style="1" customWidth="1"/>
    <col min="10505" max="10505" width="12" style="1" customWidth="1"/>
    <col min="10506" max="10506" width="8.85546875" style="1" customWidth="1"/>
    <col min="10507" max="10507" width="14" style="1" customWidth="1"/>
    <col min="10508" max="10740" width="9.140625" style="1"/>
    <col min="10741" max="10741" width="33.85546875" style="1" bestFit="1" customWidth="1"/>
    <col min="10742" max="10742" width="6.42578125" style="1" bestFit="1" customWidth="1"/>
    <col min="10743" max="10743" width="10.85546875" style="1" bestFit="1" customWidth="1"/>
    <col min="10744" max="10747" width="7" style="1" customWidth="1"/>
    <col min="10748" max="10748" width="6.85546875" style="1" customWidth="1"/>
    <col min="10749" max="10749" width="10.42578125" style="1" customWidth="1"/>
    <col min="10750" max="10750" width="7.42578125" style="1" bestFit="1" customWidth="1"/>
    <col min="10751" max="10751" width="10.42578125" style="1" customWidth="1"/>
    <col min="10752" max="10752" width="10.85546875" style="1" bestFit="1" customWidth="1"/>
    <col min="10753" max="10756" width="7" style="1" customWidth="1"/>
    <col min="10757" max="10757" width="6" style="1" bestFit="1" customWidth="1"/>
    <col min="10758" max="10758" width="10.42578125" style="1" customWidth="1"/>
    <col min="10759" max="10759" width="7.42578125" style="1" bestFit="1" customWidth="1"/>
    <col min="10760" max="10760" width="10.42578125" style="1" customWidth="1"/>
    <col min="10761" max="10761" width="12" style="1" customWidth="1"/>
    <col min="10762" max="10762" width="8.85546875" style="1" customWidth="1"/>
    <col min="10763" max="10763" width="14" style="1" customWidth="1"/>
    <col min="10764" max="10996" width="9.140625" style="1"/>
    <col min="10997" max="10997" width="33.85546875" style="1" bestFit="1" customWidth="1"/>
    <col min="10998" max="10998" width="6.42578125" style="1" bestFit="1" customWidth="1"/>
    <col min="10999" max="10999" width="10.85546875" style="1" bestFit="1" customWidth="1"/>
    <col min="11000" max="11003" width="7" style="1" customWidth="1"/>
    <col min="11004" max="11004" width="6.85546875" style="1" customWidth="1"/>
    <col min="11005" max="11005" width="10.42578125" style="1" customWidth="1"/>
    <col min="11006" max="11006" width="7.42578125" style="1" bestFit="1" customWidth="1"/>
    <col min="11007" max="11007" width="10.42578125" style="1" customWidth="1"/>
    <col min="11008" max="11008" width="10.85546875" style="1" bestFit="1" customWidth="1"/>
    <col min="11009" max="11012" width="7" style="1" customWidth="1"/>
    <col min="11013" max="11013" width="6" style="1" bestFit="1" customWidth="1"/>
    <col min="11014" max="11014" width="10.42578125" style="1" customWidth="1"/>
    <col min="11015" max="11015" width="7.42578125" style="1" bestFit="1" customWidth="1"/>
    <col min="11016" max="11016" width="10.42578125" style="1" customWidth="1"/>
    <col min="11017" max="11017" width="12" style="1" customWidth="1"/>
    <col min="11018" max="11018" width="8.85546875" style="1" customWidth="1"/>
    <col min="11019" max="11019" width="14" style="1" customWidth="1"/>
    <col min="11020" max="11252" width="9.140625" style="1"/>
    <col min="11253" max="11253" width="33.85546875" style="1" bestFit="1" customWidth="1"/>
    <col min="11254" max="11254" width="6.42578125" style="1" bestFit="1" customWidth="1"/>
    <col min="11255" max="11255" width="10.85546875" style="1" bestFit="1" customWidth="1"/>
    <col min="11256" max="11259" width="7" style="1" customWidth="1"/>
    <col min="11260" max="11260" width="6.85546875" style="1" customWidth="1"/>
    <col min="11261" max="11261" width="10.42578125" style="1" customWidth="1"/>
    <col min="11262" max="11262" width="7.42578125" style="1" bestFit="1" customWidth="1"/>
    <col min="11263" max="11263" width="10.42578125" style="1" customWidth="1"/>
    <col min="11264" max="11264" width="10.85546875" style="1" bestFit="1" customWidth="1"/>
    <col min="11265" max="11268" width="7" style="1" customWidth="1"/>
    <col min="11269" max="11269" width="6" style="1" bestFit="1" customWidth="1"/>
    <col min="11270" max="11270" width="10.42578125" style="1" customWidth="1"/>
    <col min="11271" max="11271" width="7.42578125" style="1" bestFit="1" customWidth="1"/>
    <col min="11272" max="11272" width="10.42578125" style="1" customWidth="1"/>
    <col min="11273" max="11273" width="12" style="1" customWidth="1"/>
    <col min="11274" max="11274" width="8.85546875" style="1" customWidth="1"/>
    <col min="11275" max="11275" width="14" style="1" customWidth="1"/>
    <col min="11276" max="11508" width="9.140625" style="1"/>
    <col min="11509" max="11509" width="33.85546875" style="1" bestFit="1" customWidth="1"/>
    <col min="11510" max="11510" width="6.42578125" style="1" bestFit="1" customWidth="1"/>
    <col min="11511" max="11511" width="10.85546875" style="1" bestFit="1" customWidth="1"/>
    <col min="11512" max="11515" width="7" style="1" customWidth="1"/>
    <col min="11516" max="11516" width="6.85546875" style="1" customWidth="1"/>
    <col min="11517" max="11517" width="10.42578125" style="1" customWidth="1"/>
    <col min="11518" max="11518" width="7.42578125" style="1" bestFit="1" customWidth="1"/>
    <col min="11519" max="11519" width="10.42578125" style="1" customWidth="1"/>
    <col min="11520" max="11520" width="10.85546875" style="1" bestFit="1" customWidth="1"/>
    <col min="11521" max="11524" width="7" style="1" customWidth="1"/>
    <col min="11525" max="11525" width="6" style="1" bestFit="1" customWidth="1"/>
    <col min="11526" max="11526" width="10.42578125" style="1" customWidth="1"/>
    <col min="11527" max="11527" width="7.42578125" style="1" bestFit="1" customWidth="1"/>
    <col min="11528" max="11528" width="10.42578125" style="1" customWidth="1"/>
    <col min="11529" max="11529" width="12" style="1" customWidth="1"/>
    <col min="11530" max="11530" width="8.85546875" style="1" customWidth="1"/>
    <col min="11531" max="11531" width="14" style="1" customWidth="1"/>
    <col min="11532" max="11764" width="9.140625" style="1"/>
    <col min="11765" max="11765" width="33.85546875" style="1" bestFit="1" customWidth="1"/>
    <col min="11766" max="11766" width="6.42578125" style="1" bestFit="1" customWidth="1"/>
    <col min="11767" max="11767" width="10.85546875" style="1" bestFit="1" customWidth="1"/>
    <col min="11768" max="11771" width="7" style="1" customWidth="1"/>
    <col min="11772" max="11772" width="6.85546875" style="1" customWidth="1"/>
    <col min="11773" max="11773" width="10.42578125" style="1" customWidth="1"/>
    <col min="11774" max="11774" width="7.42578125" style="1" bestFit="1" customWidth="1"/>
    <col min="11775" max="11775" width="10.42578125" style="1" customWidth="1"/>
    <col min="11776" max="11776" width="10.85546875" style="1" bestFit="1" customWidth="1"/>
    <col min="11777" max="11780" width="7" style="1" customWidth="1"/>
    <col min="11781" max="11781" width="6" style="1" bestFit="1" customWidth="1"/>
    <col min="11782" max="11782" width="10.42578125" style="1" customWidth="1"/>
    <col min="11783" max="11783" width="7.42578125" style="1" bestFit="1" customWidth="1"/>
    <col min="11784" max="11784" width="10.42578125" style="1" customWidth="1"/>
    <col min="11785" max="11785" width="12" style="1" customWidth="1"/>
    <col min="11786" max="11786" width="8.85546875" style="1" customWidth="1"/>
    <col min="11787" max="11787" width="14" style="1" customWidth="1"/>
    <col min="11788" max="12020" width="9.140625" style="1"/>
    <col min="12021" max="12021" width="33.85546875" style="1" bestFit="1" customWidth="1"/>
    <col min="12022" max="12022" width="6.42578125" style="1" bestFit="1" customWidth="1"/>
    <col min="12023" max="12023" width="10.85546875" style="1" bestFit="1" customWidth="1"/>
    <col min="12024" max="12027" width="7" style="1" customWidth="1"/>
    <col min="12028" max="12028" width="6.85546875" style="1" customWidth="1"/>
    <col min="12029" max="12029" width="10.42578125" style="1" customWidth="1"/>
    <col min="12030" max="12030" width="7.42578125" style="1" bestFit="1" customWidth="1"/>
    <col min="12031" max="12031" width="10.42578125" style="1" customWidth="1"/>
    <col min="12032" max="12032" width="10.85546875" style="1" bestFit="1" customWidth="1"/>
    <col min="12033" max="12036" width="7" style="1" customWidth="1"/>
    <col min="12037" max="12037" width="6" style="1" bestFit="1" customWidth="1"/>
    <col min="12038" max="12038" width="10.42578125" style="1" customWidth="1"/>
    <col min="12039" max="12039" width="7.42578125" style="1" bestFit="1" customWidth="1"/>
    <col min="12040" max="12040" width="10.42578125" style="1" customWidth="1"/>
    <col min="12041" max="12041" width="12" style="1" customWidth="1"/>
    <col min="12042" max="12042" width="8.85546875" style="1" customWidth="1"/>
    <col min="12043" max="12043" width="14" style="1" customWidth="1"/>
    <col min="12044" max="12276" width="9.140625" style="1"/>
    <col min="12277" max="12277" width="33.85546875" style="1" bestFit="1" customWidth="1"/>
    <col min="12278" max="12278" width="6.42578125" style="1" bestFit="1" customWidth="1"/>
    <col min="12279" max="12279" width="10.85546875" style="1" bestFit="1" customWidth="1"/>
    <col min="12280" max="12283" width="7" style="1" customWidth="1"/>
    <col min="12284" max="12284" width="6.85546875" style="1" customWidth="1"/>
    <col min="12285" max="12285" width="10.42578125" style="1" customWidth="1"/>
    <col min="12286" max="12286" width="7.42578125" style="1" bestFit="1" customWidth="1"/>
    <col min="12287" max="12287" width="10.42578125" style="1" customWidth="1"/>
    <col min="12288" max="12288" width="10.85546875" style="1" bestFit="1" customWidth="1"/>
    <col min="12289" max="12292" width="7" style="1" customWidth="1"/>
    <col min="12293" max="12293" width="6" style="1" bestFit="1" customWidth="1"/>
    <col min="12294" max="12294" width="10.42578125" style="1" customWidth="1"/>
    <col min="12295" max="12295" width="7.42578125" style="1" bestFit="1" customWidth="1"/>
    <col min="12296" max="12296" width="10.42578125" style="1" customWidth="1"/>
    <col min="12297" max="12297" width="12" style="1" customWidth="1"/>
    <col min="12298" max="12298" width="8.85546875" style="1" customWidth="1"/>
    <col min="12299" max="12299" width="14" style="1" customWidth="1"/>
    <col min="12300" max="12532" width="9.140625" style="1"/>
    <col min="12533" max="12533" width="33.85546875" style="1" bestFit="1" customWidth="1"/>
    <col min="12534" max="12534" width="6.42578125" style="1" bestFit="1" customWidth="1"/>
    <col min="12535" max="12535" width="10.85546875" style="1" bestFit="1" customWidth="1"/>
    <col min="12536" max="12539" width="7" style="1" customWidth="1"/>
    <col min="12540" max="12540" width="6.85546875" style="1" customWidth="1"/>
    <col min="12541" max="12541" width="10.42578125" style="1" customWidth="1"/>
    <col min="12542" max="12542" width="7.42578125" style="1" bestFit="1" customWidth="1"/>
    <col min="12543" max="12543" width="10.42578125" style="1" customWidth="1"/>
    <col min="12544" max="12544" width="10.85546875" style="1" bestFit="1" customWidth="1"/>
    <col min="12545" max="12548" width="7" style="1" customWidth="1"/>
    <col min="12549" max="12549" width="6" style="1" bestFit="1" customWidth="1"/>
    <col min="12550" max="12550" width="10.42578125" style="1" customWidth="1"/>
    <col min="12551" max="12551" width="7.42578125" style="1" bestFit="1" customWidth="1"/>
    <col min="12552" max="12552" width="10.42578125" style="1" customWidth="1"/>
    <col min="12553" max="12553" width="12" style="1" customWidth="1"/>
    <col min="12554" max="12554" width="8.85546875" style="1" customWidth="1"/>
    <col min="12555" max="12555" width="14" style="1" customWidth="1"/>
    <col min="12556" max="12788" width="9.140625" style="1"/>
    <col min="12789" max="12789" width="33.85546875" style="1" bestFit="1" customWidth="1"/>
    <col min="12790" max="12790" width="6.42578125" style="1" bestFit="1" customWidth="1"/>
    <col min="12791" max="12791" width="10.85546875" style="1" bestFit="1" customWidth="1"/>
    <col min="12792" max="12795" width="7" style="1" customWidth="1"/>
    <col min="12796" max="12796" width="6.85546875" style="1" customWidth="1"/>
    <col min="12797" max="12797" width="10.42578125" style="1" customWidth="1"/>
    <col min="12798" max="12798" width="7.42578125" style="1" bestFit="1" customWidth="1"/>
    <col min="12799" max="12799" width="10.42578125" style="1" customWidth="1"/>
    <col min="12800" max="12800" width="10.85546875" style="1" bestFit="1" customWidth="1"/>
    <col min="12801" max="12804" width="7" style="1" customWidth="1"/>
    <col min="12805" max="12805" width="6" style="1" bestFit="1" customWidth="1"/>
    <col min="12806" max="12806" width="10.42578125" style="1" customWidth="1"/>
    <col min="12807" max="12807" width="7.42578125" style="1" bestFit="1" customWidth="1"/>
    <col min="12808" max="12808" width="10.42578125" style="1" customWidth="1"/>
    <col min="12809" max="12809" width="12" style="1" customWidth="1"/>
    <col min="12810" max="12810" width="8.85546875" style="1" customWidth="1"/>
    <col min="12811" max="12811" width="14" style="1" customWidth="1"/>
    <col min="12812" max="13044" width="9.140625" style="1"/>
    <col min="13045" max="13045" width="33.85546875" style="1" bestFit="1" customWidth="1"/>
    <col min="13046" max="13046" width="6.42578125" style="1" bestFit="1" customWidth="1"/>
    <col min="13047" max="13047" width="10.85546875" style="1" bestFit="1" customWidth="1"/>
    <col min="13048" max="13051" width="7" style="1" customWidth="1"/>
    <col min="13052" max="13052" width="6.85546875" style="1" customWidth="1"/>
    <col min="13053" max="13053" width="10.42578125" style="1" customWidth="1"/>
    <col min="13054" max="13054" width="7.42578125" style="1" bestFit="1" customWidth="1"/>
    <col min="13055" max="13055" width="10.42578125" style="1" customWidth="1"/>
    <col min="13056" max="13056" width="10.85546875" style="1" bestFit="1" customWidth="1"/>
    <col min="13057" max="13060" width="7" style="1" customWidth="1"/>
    <col min="13061" max="13061" width="6" style="1" bestFit="1" customWidth="1"/>
    <col min="13062" max="13062" width="10.42578125" style="1" customWidth="1"/>
    <col min="13063" max="13063" width="7.42578125" style="1" bestFit="1" customWidth="1"/>
    <col min="13064" max="13064" width="10.42578125" style="1" customWidth="1"/>
    <col min="13065" max="13065" width="12" style="1" customWidth="1"/>
    <col min="13066" max="13066" width="8.85546875" style="1" customWidth="1"/>
    <col min="13067" max="13067" width="14" style="1" customWidth="1"/>
    <col min="13068" max="13300" width="9.140625" style="1"/>
    <col min="13301" max="13301" width="33.85546875" style="1" bestFit="1" customWidth="1"/>
    <col min="13302" max="13302" width="6.42578125" style="1" bestFit="1" customWidth="1"/>
    <col min="13303" max="13303" width="10.85546875" style="1" bestFit="1" customWidth="1"/>
    <col min="13304" max="13307" width="7" style="1" customWidth="1"/>
    <col min="13308" max="13308" width="6.85546875" style="1" customWidth="1"/>
    <col min="13309" max="13309" width="10.42578125" style="1" customWidth="1"/>
    <col min="13310" max="13310" width="7.42578125" style="1" bestFit="1" customWidth="1"/>
    <col min="13311" max="13311" width="10.42578125" style="1" customWidth="1"/>
    <col min="13312" max="13312" width="10.85546875" style="1" bestFit="1" customWidth="1"/>
    <col min="13313" max="13316" width="7" style="1" customWidth="1"/>
    <col min="13317" max="13317" width="6" style="1" bestFit="1" customWidth="1"/>
    <col min="13318" max="13318" width="10.42578125" style="1" customWidth="1"/>
    <col min="13319" max="13319" width="7.42578125" style="1" bestFit="1" customWidth="1"/>
    <col min="13320" max="13320" width="10.42578125" style="1" customWidth="1"/>
    <col min="13321" max="13321" width="12" style="1" customWidth="1"/>
    <col min="13322" max="13322" width="8.85546875" style="1" customWidth="1"/>
    <col min="13323" max="13323" width="14" style="1" customWidth="1"/>
    <col min="13324" max="13556" width="9.140625" style="1"/>
    <col min="13557" max="13557" width="33.85546875" style="1" bestFit="1" customWidth="1"/>
    <col min="13558" max="13558" width="6.42578125" style="1" bestFit="1" customWidth="1"/>
    <col min="13559" max="13559" width="10.85546875" style="1" bestFit="1" customWidth="1"/>
    <col min="13560" max="13563" width="7" style="1" customWidth="1"/>
    <col min="13564" max="13564" width="6.85546875" style="1" customWidth="1"/>
    <col min="13565" max="13565" width="10.42578125" style="1" customWidth="1"/>
    <col min="13566" max="13566" width="7.42578125" style="1" bestFit="1" customWidth="1"/>
    <col min="13567" max="13567" width="10.42578125" style="1" customWidth="1"/>
    <col min="13568" max="13568" width="10.85546875" style="1" bestFit="1" customWidth="1"/>
    <col min="13569" max="13572" width="7" style="1" customWidth="1"/>
    <col min="13573" max="13573" width="6" style="1" bestFit="1" customWidth="1"/>
    <col min="13574" max="13574" width="10.42578125" style="1" customWidth="1"/>
    <col min="13575" max="13575" width="7.42578125" style="1" bestFit="1" customWidth="1"/>
    <col min="13576" max="13576" width="10.42578125" style="1" customWidth="1"/>
    <col min="13577" max="13577" width="12" style="1" customWidth="1"/>
    <col min="13578" max="13578" width="8.85546875" style="1" customWidth="1"/>
    <col min="13579" max="13579" width="14" style="1" customWidth="1"/>
    <col min="13580" max="13812" width="9.140625" style="1"/>
    <col min="13813" max="13813" width="33.85546875" style="1" bestFit="1" customWidth="1"/>
    <col min="13814" max="13814" width="6.42578125" style="1" bestFit="1" customWidth="1"/>
    <col min="13815" max="13815" width="10.85546875" style="1" bestFit="1" customWidth="1"/>
    <col min="13816" max="13819" width="7" style="1" customWidth="1"/>
    <col min="13820" max="13820" width="6.85546875" style="1" customWidth="1"/>
    <col min="13821" max="13821" width="10.42578125" style="1" customWidth="1"/>
    <col min="13822" max="13822" width="7.42578125" style="1" bestFit="1" customWidth="1"/>
    <col min="13823" max="13823" width="10.42578125" style="1" customWidth="1"/>
    <col min="13824" max="13824" width="10.85546875" style="1" bestFit="1" customWidth="1"/>
    <col min="13825" max="13828" width="7" style="1" customWidth="1"/>
    <col min="13829" max="13829" width="6" style="1" bestFit="1" customWidth="1"/>
    <col min="13830" max="13830" width="10.42578125" style="1" customWidth="1"/>
    <col min="13831" max="13831" width="7.42578125" style="1" bestFit="1" customWidth="1"/>
    <col min="13832" max="13832" width="10.42578125" style="1" customWidth="1"/>
    <col min="13833" max="13833" width="12" style="1" customWidth="1"/>
    <col min="13834" max="13834" width="8.85546875" style="1" customWidth="1"/>
    <col min="13835" max="13835" width="14" style="1" customWidth="1"/>
    <col min="13836" max="14068" width="9.140625" style="1"/>
    <col min="14069" max="14069" width="33.85546875" style="1" bestFit="1" customWidth="1"/>
    <col min="14070" max="14070" width="6.42578125" style="1" bestFit="1" customWidth="1"/>
    <col min="14071" max="14071" width="10.85546875" style="1" bestFit="1" customWidth="1"/>
    <col min="14072" max="14075" width="7" style="1" customWidth="1"/>
    <col min="14076" max="14076" width="6.85546875" style="1" customWidth="1"/>
    <col min="14077" max="14077" width="10.42578125" style="1" customWidth="1"/>
    <col min="14078" max="14078" width="7.42578125" style="1" bestFit="1" customWidth="1"/>
    <col min="14079" max="14079" width="10.42578125" style="1" customWidth="1"/>
    <col min="14080" max="14080" width="10.85546875" style="1" bestFit="1" customWidth="1"/>
    <col min="14081" max="14084" width="7" style="1" customWidth="1"/>
    <col min="14085" max="14085" width="6" style="1" bestFit="1" customWidth="1"/>
    <col min="14086" max="14086" width="10.42578125" style="1" customWidth="1"/>
    <col min="14087" max="14087" width="7.42578125" style="1" bestFit="1" customWidth="1"/>
    <col min="14088" max="14088" width="10.42578125" style="1" customWidth="1"/>
    <col min="14089" max="14089" width="12" style="1" customWidth="1"/>
    <col min="14090" max="14090" width="8.85546875" style="1" customWidth="1"/>
    <col min="14091" max="14091" width="14" style="1" customWidth="1"/>
    <col min="14092" max="14324" width="9.140625" style="1"/>
    <col min="14325" max="14325" width="33.85546875" style="1" bestFit="1" customWidth="1"/>
    <col min="14326" max="14326" width="6.42578125" style="1" bestFit="1" customWidth="1"/>
    <col min="14327" max="14327" width="10.85546875" style="1" bestFit="1" customWidth="1"/>
    <col min="14328" max="14331" width="7" style="1" customWidth="1"/>
    <col min="14332" max="14332" width="6.85546875" style="1" customWidth="1"/>
    <col min="14333" max="14333" width="10.42578125" style="1" customWidth="1"/>
    <col min="14334" max="14334" width="7.42578125" style="1" bestFit="1" customWidth="1"/>
    <col min="14335" max="14335" width="10.42578125" style="1" customWidth="1"/>
    <col min="14336" max="14336" width="10.85546875" style="1" bestFit="1" customWidth="1"/>
    <col min="14337" max="14340" width="7" style="1" customWidth="1"/>
    <col min="14341" max="14341" width="6" style="1" bestFit="1" customWidth="1"/>
    <col min="14342" max="14342" width="10.42578125" style="1" customWidth="1"/>
    <col min="14343" max="14343" width="7.42578125" style="1" bestFit="1" customWidth="1"/>
    <col min="14344" max="14344" width="10.42578125" style="1" customWidth="1"/>
    <col min="14345" max="14345" width="12" style="1" customWidth="1"/>
    <col min="14346" max="14346" width="8.85546875" style="1" customWidth="1"/>
    <col min="14347" max="14347" width="14" style="1" customWidth="1"/>
    <col min="14348" max="14580" width="9.140625" style="1"/>
    <col min="14581" max="14581" width="33.85546875" style="1" bestFit="1" customWidth="1"/>
    <col min="14582" max="14582" width="6.42578125" style="1" bestFit="1" customWidth="1"/>
    <col min="14583" max="14583" width="10.85546875" style="1" bestFit="1" customWidth="1"/>
    <col min="14584" max="14587" width="7" style="1" customWidth="1"/>
    <col min="14588" max="14588" width="6.85546875" style="1" customWidth="1"/>
    <col min="14589" max="14589" width="10.42578125" style="1" customWidth="1"/>
    <col min="14590" max="14590" width="7.42578125" style="1" bestFit="1" customWidth="1"/>
    <col min="14591" max="14591" width="10.42578125" style="1" customWidth="1"/>
    <col min="14592" max="14592" width="10.85546875" style="1" bestFit="1" customWidth="1"/>
    <col min="14593" max="14596" width="7" style="1" customWidth="1"/>
    <col min="14597" max="14597" width="6" style="1" bestFit="1" customWidth="1"/>
    <col min="14598" max="14598" width="10.42578125" style="1" customWidth="1"/>
    <col min="14599" max="14599" width="7.42578125" style="1" bestFit="1" customWidth="1"/>
    <col min="14600" max="14600" width="10.42578125" style="1" customWidth="1"/>
    <col min="14601" max="14601" width="12" style="1" customWidth="1"/>
    <col min="14602" max="14602" width="8.85546875" style="1" customWidth="1"/>
    <col min="14603" max="14603" width="14" style="1" customWidth="1"/>
    <col min="14604" max="14836" width="9.140625" style="1"/>
    <col min="14837" max="14837" width="33.85546875" style="1" bestFit="1" customWidth="1"/>
    <col min="14838" max="14838" width="6.42578125" style="1" bestFit="1" customWidth="1"/>
    <col min="14839" max="14839" width="10.85546875" style="1" bestFit="1" customWidth="1"/>
    <col min="14840" max="14843" width="7" style="1" customWidth="1"/>
    <col min="14844" max="14844" width="6.85546875" style="1" customWidth="1"/>
    <col min="14845" max="14845" width="10.42578125" style="1" customWidth="1"/>
    <col min="14846" max="14846" width="7.42578125" style="1" bestFit="1" customWidth="1"/>
    <col min="14847" max="14847" width="10.42578125" style="1" customWidth="1"/>
    <col min="14848" max="14848" width="10.85546875" style="1" bestFit="1" customWidth="1"/>
    <col min="14849" max="14852" width="7" style="1" customWidth="1"/>
    <col min="14853" max="14853" width="6" style="1" bestFit="1" customWidth="1"/>
    <col min="14854" max="14854" width="10.42578125" style="1" customWidth="1"/>
    <col min="14855" max="14855" width="7.42578125" style="1" bestFit="1" customWidth="1"/>
    <col min="14856" max="14856" width="10.42578125" style="1" customWidth="1"/>
    <col min="14857" max="14857" width="12" style="1" customWidth="1"/>
    <col min="14858" max="14858" width="8.85546875" style="1" customWidth="1"/>
    <col min="14859" max="14859" width="14" style="1" customWidth="1"/>
    <col min="14860" max="15092" width="9.140625" style="1"/>
    <col min="15093" max="15093" width="33.85546875" style="1" bestFit="1" customWidth="1"/>
    <col min="15094" max="15094" width="6.42578125" style="1" bestFit="1" customWidth="1"/>
    <col min="15095" max="15095" width="10.85546875" style="1" bestFit="1" customWidth="1"/>
    <col min="15096" max="15099" width="7" style="1" customWidth="1"/>
    <col min="15100" max="15100" width="6.85546875" style="1" customWidth="1"/>
    <col min="15101" max="15101" width="10.42578125" style="1" customWidth="1"/>
    <col min="15102" max="15102" width="7.42578125" style="1" bestFit="1" customWidth="1"/>
    <col min="15103" max="15103" width="10.42578125" style="1" customWidth="1"/>
    <col min="15104" max="15104" width="10.85546875" style="1" bestFit="1" customWidth="1"/>
    <col min="15105" max="15108" width="7" style="1" customWidth="1"/>
    <col min="15109" max="15109" width="6" style="1" bestFit="1" customWidth="1"/>
    <col min="15110" max="15110" width="10.42578125" style="1" customWidth="1"/>
    <col min="15111" max="15111" width="7.42578125" style="1" bestFit="1" customWidth="1"/>
    <col min="15112" max="15112" width="10.42578125" style="1" customWidth="1"/>
    <col min="15113" max="15113" width="12" style="1" customWidth="1"/>
    <col min="15114" max="15114" width="8.85546875" style="1" customWidth="1"/>
    <col min="15115" max="15115" width="14" style="1" customWidth="1"/>
    <col min="15116" max="15348" width="9.140625" style="1"/>
    <col min="15349" max="15349" width="33.85546875" style="1" bestFit="1" customWidth="1"/>
    <col min="15350" max="15350" width="6.42578125" style="1" bestFit="1" customWidth="1"/>
    <col min="15351" max="15351" width="10.85546875" style="1" bestFit="1" customWidth="1"/>
    <col min="15352" max="15355" width="7" style="1" customWidth="1"/>
    <col min="15356" max="15356" width="6.85546875" style="1" customWidth="1"/>
    <col min="15357" max="15357" width="10.42578125" style="1" customWidth="1"/>
    <col min="15358" max="15358" width="7.42578125" style="1" bestFit="1" customWidth="1"/>
    <col min="15359" max="15359" width="10.42578125" style="1" customWidth="1"/>
    <col min="15360" max="15360" width="10.85546875" style="1" bestFit="1" customWidth="1"/>
    <col min="15361" max="15364" width="7" style="1" customWidth="1"/>
    <col min="15365" max="15365" width="6" style="1" bestFit="1" customWidth="1"/>
    <col min="15366" max="15366" width="10.42578125" style="1" customWidth="1"/>
    <col min="15367" max="15367" width="7.42578125" style="1" bestFit="1" customWidth="1"/>
    <col min="15368" max="15368" width="10.42578125" style="1" customWidth="1"/>
    <col min="15369" max="15369" width="12" style="1" customWidth="1"/>
    <col min="15370" max="15370" width="8.85546875" style="1" customWidth="1"/>
    <col min="15371" max="15371" width="14" style="1" customWidth="1"/>
    <col min="15372" max="15604" width="9.140625" style="1"/>
    <col min="15605" max="15605" width="33.85546875" style="1" bestFit="1" customWidth="1"/>
    <col min="15606" max="15606" width="6.42578125" style="1" bestFit="1" customWidth="1"/>
    <col min="15607" max="15607" width="10.85546875" style="1" bestFit="1" customWidth="1"/>
    <col min="15608" max="15611" width="7" style="1" customWidth="1"/>
    <col min="15612" max="15612" width="6.85546875" style="1" customWidth="1"/>
    <col min="15613" max="15613" width="10.42578125" style="1" customWidth="1"/>
    <col min="15614" max="15614" width="7.42578125" style="1" bestFit="1" customWidth="1"/>
    <col min="15615" max="15615" width="10.42578125" style="1" customWidth="1"/>
    <col min="15616" max="15616" width="10.85546875" style="1" bestFit="1" customWidth="1"/>
    <col min="15617" max="15620" width="7" style="1" customWidth="1"/>
    <col min="15621" max="15621" width="6" style="1" bestFit="1" customWidth="1"/>
    <col min="15622" max="15622" width="10.42578125" style="1" customWidth="1"/>
    <col min="15623" max="15623" width="7.42578125" style="1" bestFit="1" customWidth="1"/>
    <col min="15624" max="15624" width="10.42578125" style="1" customWidth="1"/>
    <col min="15625" max="15625" width="12" style="1" customWidth="1"/>
    <col min="15626" max="15626" width="8.85546875" style="1" customWidth="1"/>
    <col min="15627" max="15627" width="14" style="1" customWidth="1"/>
    <col min="15628" max="15860" width="9.140625" style="1"/>
    <col min="15861" max="15861" width="33.85546875" style="1" bestFit="1" customWidth="1"/>
    <col min="15862" max="15862" width="6.42578125" style="1" bestFit="1" customWidth="1"/>
    <col min="15863" max="15863" width="10.85546875" style="1" bestFit="1" customWidth="1"/>
    <col min="15864" max="15867" width="7" style="1" customWidth="1"/>
    <col min="15868" max="15868" width="6.85546875" style="1" customWidth="1"/>
    <col min="15869" max="15869" width="10.42578125" style="1" customWidth="1"/>
    <col min="15870" max="15870" width="7.42578125" style="1" bestFit="1" customWidth="1"/>
    <col min="15871" max="15871" width="10.42578125" style="1" customWidth="1"/>
    <col min="15872" max="15872" width="10.85546875" style="1" bestFit="1" customWidth="1"/>
    <col min="15873" max="15876" width="7" style="1" customWidth="1"/>
    <col min="15877" max="15877" width="6" style="1" bestFit="1" customWidth="1"/>
    <col min="15878" max="15878" width="10.42578125" style="1" customWidth="1"/>
    <col min="15879" max="15879" width="7.42578125" style="1" bestFit="1" customWidth="1"/>
    <col min="15880" max="15880" width="10.42578125" style="1" customWidth="1"/>
    <col min="15881" max="15881" width="12" style="1" customWidth="1"/>
    <col min="15882" max="15882" width="8.85546875" style="1" customWidth="1"/>
    <col min="15883" max="15883" width="14" style="1" customWidth="1"/>
    <col min="15884" max="16116" width="9.140625" style="1"/>
    <col min="16117" max="16117" width="33.85546875" style="1" bestFit="1" customWidth="1"/>
    <col min="16118" max="16118" width="6.42578125" style="1" bestFit="1" customWidth="1"/>
    <col min="16119" max="16119" width="10.85546875" style="1" bestFit="1" customWidth="1"/>
    <col min="16120" max="16123" width="7" style="1" customWidth="1"/>
    <col min="16124" max="16124" width="6.85546875" style="1" customWidth="1"/>
    <col min="16125" max="16125" width="10.42578125" style="1" customWidth="1"/>
    <col min="16126" max="16126" width="7.42578125" style="1" bestFit="1" customWidth="1"/>
    <col min="16127" max="16127" width="10.42578125" style="1" customWidth="1"/>
    <col min="16128" max="16128" width="10.85546875" style="1" bestFit="1" customWidth="1"/>
    <col min="16129" max="16132" width="7" style="1" customWidth="1"/>
    <col min="16133" max="16133" width="6" style="1" bestFit="1" customWidth="1"/>
    <col min="16134" max="16134" width="10.42578125" style="1" customWidth="1"/>
    <col min="16135" max="16135" width="7.42578125" style="1" bestFit="1" customWidth="1"/>
    <col min="16136" max="16136" width="10.42578125" style="1" customWidth="1"/>
    <col min="16137" max="16137" width="12" style="1" customWidth="1"/>
    <col min="16138" max="16138" width="8.85546875" style="1" customWidth="1"/>
    <col min="16139" max="16139" width="14" style="1" customWidth="1"/>
    <col min="16140" max="16384" width="9.140625" style="1"/>
  </cols>
  <sheetData>
    <row r="1" spans="1:20" ht="15.75">
      <c r="K1" s="556" t="s">
        <v>813</v>
      </c>
    </row>
    <row r="2" spans="1:20" ht="48" customHeight="1">
      <c r="A2" s="1412" t="s">
        <v>1615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</row>
    <row r="3" spans="1:20" ht="8.25" customHeight="1">
      <c r="A3" s="193"/>
      <c r="B3" s="195"/>
      <c r="C3" s="10"/>
      <c r="D3" s="10"/>
      <c r="E3" s="10"/>
      <c r="F3" s="10"/>
      <c r="G3" s="10"/>
      <c r="H3" s="10"/>
      <c r="I3" s="10"/>
      <c r="J3" s="10"/>
      <c r="K3" s="10"/>
    </row>
    <row r="4" spans="1:20" ht="12.75" hidden="1">
      <c r="A4" s="1413"/>
      <c r="B4" s="1413"/>
      <c r="C4" s="1413"/>
      <c r="D4" s="1413"/>
      <c r="E4" s="1413"/>
      <c r="F4" s="1413"/>
      <c r="G4" s="1413"/>
      <c r="H4" s="1413"/>
      <c r="I4" s="1413"/>
      <c r="J4" s="1413"/>
      <c r="K4" s="1413"/>
    </row>
    <row r="5" spans="1:20" s="192" customFormat="1" ht="25.5" customHeight="1">
      <c r="A5" s="187" t="s">
        <v>732</v>
      </c>
      <c r="B5" s="188"/>
      <c r="C5" s="191" t="s">
        <v>1616</v>
      </c>
      <c r="D5" s="191"/>
      <c r="E5" s="191"/>
      <c r="F5" s="191"/>
      <c r="G5" s="191"/>
      <c r="H5" s="191"/>
      <c r="I5" s="191"/>
      <c r="J5" s="191"/>
      <c r="K5" s="191"/>
      <c r="L5" s="230"/>
      <c r="M5" s="230"/>
      <c r="N5" s="230"/>
      <c r="O5" s="230"/>
      <c r="P5" s="230"/>
      <c r="Q5" s="230"/>
      <c r="R5" s="230"/>
      <c r="S5" s="230"/>
      <c r="T5" s="230"/>
    </row>
    <row r="6" spans="1:20" s="192" customFormat="1" ht="9" customHeight="1">
      <c r="A6" s="1414"/>
      <c r="B6" s="1414"/>
      <c r="C6" s="1414"/>
      <c r="D6" s="1414"/>
      <c r="E6" s="1414"/>
      <c r="F6" s="1414"/>
      <c r="G6" s="1414"/>
      <c r="H6" s="1414"/>
      <c r="I6" s="1414"/>
      <c r="J6" s="1414"/>
      <c r="K6" s="1414"/>
      <c r="L6" s="230"/>
      <c r="M6" s="230"/>
      <c r="N6" s="230"/>
      <c r="O6" s="230"/>
      <c r="P6" s="230"/>
      <c r="Q6" s="230"/>
      <c r="R6" s="230"/>
      <c r="S6" s="230"/>
      <c r="T6" s="230"/>
    </row>
    <row r="7" spans="1:20" s="432" customFormat="1" ht="12" customHeight="1">
      <c r="A7" s="430"/>
      <c r="B7" s="430"/>
      <c r="C7" s="430"/>
      <c r="D7" s="430"/>
      <c r="E7" s="430"/>
      <c r="F7" s="430"/>
      <c r="G7" s="430"/>
      <c r="H7" s="430"/>
      <c r="I7" s="430"/>
      <c r="J7" s="1415" t="s">
        <v>874</v>
      </c>
      <c r="K7" s="1415"/>
      <c r="L7" s="431"/>
      <c r="M7" s="431"/>
      <c r="N7" s="431"/>
      <c r="O7" s="431"/>
      <c r="P7" s="431"/>
      <c r="Q7" s="431"/>
      <c r="R7" s="431"/>
      <c r="S7" s="431"/>
      <c r="T7" s="431"/>
    </row>
    <row r="8" spans="1:20" s="194" customFormat="1" ht="20.100000000000001" customHeight="1">
      <c r="A8" s="1416" t="s">
        <v>728</v>
      </c>
      <c r="B8" s="1416"/>
      <c r="C8" s="1416"/>
      <c r="D8" s="1416"/>
      <c r="E8" s="1416"/>
      <c r="F8" s="1416"/>
      <c r="G8" s="1416"/>
      <c r="H8" s="1416"/>
      <c r="I8" s="1416"/>
      <c r="J8" s="1416"/>
      <c r="K8" s="1416"/>
      <c r="L8" s="231"/>
      <c r="M8" s="231"/>
      <c r="N8" s="231"/>
      <c r="O8" s="231"/>
      <c r="P8" s="231"/>
      <c r="Q8" s="231"/>
      <c r="R8" s="231"/>
      <c r="S8" s="231"/>
      <c r="T8" s="231"/>
    </row>
    <row r="9" spans="1:20" ht="18" customHeight="1">
      <c r="A9" s="1417" t="s">
        <v>729</v>
      </c>
      <c r="B9" s="1411" t="s">
        <v>730</v>
      </c>
      <c r="C9" s="1411" t="s">
        <v>131</v>
      </c>
      <c r="D9" s="1410" t="s">
        <v>1634</v>
      </c>
      <c r="E9" s="1410"/>
      <c r="F9" s="1410"/>
      <c r="G9" s="1410"/>
      <c r="H9" s="1410"/>
      <c r="I9" s="1410"/>
      <c r="J9" s="1410"/>
      <c r="K9" s="1410"/>
    </row>
    <row r="10" spans="1:20" ht="18" customHeight="1">
      <c r="A10" s="1417"/>
      <c r="B10" s="1411"/>
      <c r="C10" s="1411"/>
      <c r="D10" s="1409" t="s">
        <v>132</v>
      </c>
      <c r="E10" s="1409"/>
      <c r="F10" s="1409"/>
      <c r="G10" s="1409"/>
      <c r="H10" s="1409"/>
      <c r="I10" s="1409"/>
      <c r="J10" s="1409" t="s">
        <v>133</v>
      </c>
      <c r="K10" s="1410"/>
    </row>
    <row r="11" spans="1:20" ht="15" customHeight="1">
      <c r="A11" s="1417"/>
      <c r="B11" s="1411"/>
      <c r="C11" s="1411"/>
      <c r="D11" s="1411" t="s">
        <v>134</v>
      </c>
      <c r="E11" s="1411"/>
      <c r="F11" s="1411" t="s">
        <v>135</v>
      </c>
      <c r="G11" s="1411"/>
      <c r="H11" s="1411" t="s">
        <v>136</v>
      </c>
      <c r="I11" s="1411" t="s">
        <v>731</v>
      </c>
      <c r="J11" s="1411" t="s">
        <v>137</v>
      </c>
      <c r="K11" s="1411" t="s">
        <v>731</v>
      </c>
    </row>
    <row r="12" spans="1:20" ht="15" customHeight="1">
      <c r="A12" s="1417"/>
      <c r="B12" s="1411"/>
      <c r="C12" s="1411"/>
      <c r="D12" s="1032" t="s">
        <v>138</v>
      </c>
      <c r="E12" s="1032" t="s">
        <v>139</v>
      </c>
      <c r="F12" s="1032" t="s">
        <v>138</v>
      </c>
      <c r="G12" s="1032" t="s">
        <v>139</v>
      </c>
      <c r="H12" s="1411"/>
      <c r="I12" s="1411"/>
      <c r="J12" s="1411"/>
      <c r="K12" s="1411"/>
    </row>
    <row r="13" spans="1:20" ht="20.100000000000001" customHeight="1">
      <c r="A13" s="1429" t="s">
        <v>141</v>
      </c>
      <c r="B13" s="196" t="s">
        <v>157</v>
      </c>
      <c r="C13" s="1431">
        <v>106</v>
      </c>
      <c r="D13" s="1433">
        <f>48+5</f>
        <v>53</v>
      </c>
      <c r="E13" s="1433">
        <v>16</v>
      </c>
      <c r="F13" s="1433"/>
      <c r="G13" s="1433"/>
      <c r="H13" s="1418">
        <f>SUM(D13:G13)</f>
        <v>69</v>
      </c>
      <c r="I13" s="1432">
        <f>181.922+19.026</f>
        <v>200.94800000000001</v>
      </c>
      <c r="J13" s="1433">
        <f>+C13-H13</f>
        <v>37</v>
      </c>
      <c r="K13" s="1434">
        <f>+M13+M14-I13</f>
        <v>79.91100000000003</v>
      </c>
      <c r="M13" s="9">
        <v>19.026</v>
      </c>
    </row>
    <row r="14" spans="1:20" ht="20.100000000000001" customHeight="1">
      <c r="A14" s="1430"/>
      <c r="B14" s="196" t="s">
        <v>158</v>
      </c>
      <c r="C14" s="1431"/>
      <c r="D14" s="1419"/>
      <c r="E14" s="1419"/>
      <c r="F14" s="1419"/>
      <c r="G14" s="1419"/>
      <c r="H14" s="1419"/>
      <c r="I14" s="1421"/>
      <c r="J14" s="1419"/>
      <c r="K14" s="1423"/>
      <c r="M14" s="9">
        <v>261.83300000000003</v>
      </c>
    </row>
    <row r="15" spans="1:20" ht="20.100000000000001" customHeight="1">
      <c r="A15" s="1429" t="s">
        <v>142</v>
      </c>
      <c r="B15" s="196" t="s">
        <v>157</v>
      </c>
      <c r="C15" s="1431">
        <v>113</v>
      </c>
      <c r="D15" s="1418">
        <v>25</v>
      </c>
      <c r="E15" s="1418">
        <v>19</v>
      </c>
      <c r="F15" s="1418">
        <v>5</v>
      </c>
      <c r="G15" s="1418">
        <v>0</v>
      </c>
      <c r="H15" s="1418">
        <f>SUM(D15:G15)</f>
        <v>49</v>
      </c>
      <c r="I15" s="1420">
        <v>118.97199999999999</v>
      </c>
      <c r="J15" s="1418">
        <f>SUM(C15-H15)</f>
        <v>64</v>
      </c>
      <c r="K15" s="1422">
        <f>+M15-I15</f>
        <v>110.98</v>
      </c>
      <c r="M15" s="9">
        <v>229.952</v>
      </c>
    </row>
    <row r="16" spans="1:20" ht="20.100000000000001" customHeight="1">
      <c r="A16" s="1430"/>
      <c r="B16" s="196" t="s">
        <v>158</v>
      </c>
      <c r="C16" s="1431"/>
      <c r="D16" s="1419"/>
      <c r="E16" s="1419"/>
      <c r="F16" s="1419"/>
      <c r="G16" s="1419"/>
      <c r="H16" s="1419"/>
      <c r="I16" s="1421"/>
      <c r="J16" s="1419"/>
      <c r="K16" s="1423"/>
    </row>
    <row r="17" spans="1:26" ht="20.100000000000001" customHeight="1">
      <c r="A17" s="1429" t="s">
        <v>143</v>
      </c>
      <c r="B17" s="196" t="s">
        <v>157</v>
      </c>
      <c r="C17" s="1431">
        <v>199</v>
      </c>
      <c r="D17" s="1418">
        <v>98</v>
      </c>
      <c r="E17" s="1418">
        <v>40</v>
      </c>
      <c r="F17" s="1418">
        <v>28</v>
      </c>
      <c r="G17" s="1418">
        <v>23</v>
      </c>
      <c r="H17" s="1418">
        <f>SUM(D17:G17)</f>
        <v>189</v>
      </c>
      <c r="I17" s="1420">
        <v>346.79199999999997</v>
      </c>
      <c r="J17" s="1418">
        <f>SUM(C17-H17)</f>
        <v>10</v>
      </c>
      <c r="K17" s="1422">
        <f>+M17-I17</f>
        <v>17.43300000000005</v>
      </c>
      <c r="M17" s="9">
        <v>364.22500000000002</v>
      </c>
    </row>
    <row r="18" spans="1:26" ht="20.100000000000001" customHeight="1">
      <c r="A18" s="1430"/>
      <c r="B18" s="196" t="s">
        <v>158</v>
      </c>
      <c r="C18" s="1431"/>
      <c r="D18" s="1419"/>
      <c r="E18" s="1419"/>
      <c r="F18" s="1419"/>
      <c r="G18" s="1419"/>
      <c r="H18" s="1419"/>
      <c r="I18" s="1421"/>
      <c r="J18" s="1419"/>
      <c r="K18" s="1423"/>
    </row>
    <row r="19" spans="1:26" ht="20.100000000000001" customHeight="1">
      <c r="A19" s="1031" t="s">
        <v>144</v>
      </c>
      <c r="B19" s="196" t="s">
        <v>157</v>
      </c>
      <c r="C19" s="1033">
        <v>247</v>
      </c>
      <c r="D19" s="12">
        <v>36</v>
      </c>
      <c r="E19" s="12">
        <v>25</v>
      </c>
      <c r="F19" s="12">
        <v>68</v>
      </c>
      <c r="G19" s="12">
        <v>85</v>
      </c>
      <c r="H19" s="12">
        <f>SUM(D19:G19)</f>
        <v>214</v>
      </c>
      <c r="I19" s="820">
        <v>291.62</v>
      </c>
      <c r="J19" s="12">
        <f>SUM(C19-H19)</f>
        <v>33</v>
      </c>
      <c r="K19" s="821">
        <f>+M19-I19</f>
        <v>34.668999999999983</v>
      </c>
      <c r="M19" s="9">
        <v>326.28899999999999</v>
      </c>
    </row>
    <row r="20" spans="1:26" s="197" customFormat="1" ht="20.100000000000001" customHeight="1">
      <c r="A20" s="1424" t="s">
        <v>136</v>
      </c>
      <c r="B20" s="1425"/>
      <c r="C20" s="429">
        <f>SUM(C13:C19)</f>
        <v>665</v>
      </c>
      <c r="D20" s="429">
        <f>SUM(D13:D19)</f>
        <v>212</v>
      </c>
      <c r="E20" s="429">
        <f t="shared" ref="E20:K20" si="0">SUM(E13:E19)</f>
        <v>100</v>
      </c>
      <c r="F20" s="429">
        <f t="shared" si="0"/>
        <v>101</v>
      </c>
      <c r="G20" s="429">
        <f t="shared" si="0"/>
        <v>108</v>
      </c>
      <c r="H20" s="429">
        <f t="shared" si="0"/>
        <v>521</v>
      </c>
      <c r="I20" s="822">
        <f t="shared" si="0"/>
        <v>958.33199999999999</v>
      </c>
      <c r="J20" s="429">
        <f t="shared" si="0"/>
        <v>144</v>
      </c>
      <c r="K20" s="822">
        <f t="shared" si="0"/>
        <v>242.99300000000005</v>
      </c>
      <c r="L20" s="7"/>
      <c r="M20" s="7"/>
      <c r="N20" s="7"/>
      <c r="O20" s="7"/>
      <c r="P20" s="7"/>
      <c r="Q20" s="7"/>
      <c r="R20" s="7"/>
      <c r="S20" s="7"/>
      <c r="T20" s="7"/>
    </row>
    <row r="21" spans="1:26" s="197" customFormat="1" ht="12" customHeight="1">
      <c r="A21" s="1426"/>
      <c r="B21" s="1427"/>
      <c r="C21" s="1427"/>
      <c r="D21" s="1427"/>
      <c r="E21" s="1427"/>
      <c r="F21" s="1427"/>
      <c r="G21" s="1427"/>
      <c r="H21" s="1427"/>
      <c r="I21" s="1427"/>
      <c r="J21" s="1427"/>
      <c r="K21" s="1428"/>
      <c r="L21" s="7"/>
      <c r="M21" s="7"/>
      <c r="N21" s="7"/>
      <c r="O21" s="7"/>
      <c r="P21" s="7"/>
      <c r="Q21" s="7"/>
      <c r="R21" s="7"/>
      <c r="S21" s="7"/>
      <c r="T21" s="7"/>
    </row>
    <row r="22" spans="1:26" ht="18" customHeight="1">
      <c r="A22" s="1417" t="s">
        <v>729</v>
      </c>
      <c r="B22" s="1411" t="s">
        <v>730</v>
      </c>
      <c r="C22" s="1411" t="s">
        <v>131</v>
      </c>
      <c r="D22" s="1410" t="s">
        <v>1635</v>
      </c>
      <c r="E22" s="1410"/>
      <c r="F22" s="1410"/>
      <c r="G22" s="1410"/>
      <c r="H22" s="1410"/>
      <c r="I22" s="1410"/>
      <c r="J22" s="1410"/>
      <c r="K22" s="1410"/>
    </row>
    <row r="23" spans="1:26" ht="18" customHeight="1">
      <c r="A23" s="1417"/>
      <c r="B23" s="1411"/>
      <c r="C23" s="1411"/>
      <c r="D23" s="1435" t="s">
        <v>132</v>
      </c>
      <c r="E23" s="1435"/>
      <c r="F23" s="1435"/>
      <c r="G23" s="1435"/>
      <c r="H23" s="1435"/>
      <c r="I23" s="1435"/>
      <c r="J23" s="1435" t="s">
        <v>133</v>
      </c>
      <c r="K23" s="1436"/>
    </row>
    <row r="24" spans="1:26" ht="15" customHeight="1">
      <c r="A24" s="1417"/>
      <c r="B24" s="1411"/>
      <c r="C24" s="1411"/>
      <c r="D24" s="1411" t="s">
        <v>134</v>
      </c>
      <c r="E24" s="1411"/>
      <c r="F24" s="1411" t="s">
        <v>135</v>
      </c>
      <c r="G24" s="1411"/>
      <c r="H24" s="1411" t="s">
        <v>136</v>
      </c>
      <c r="I24" s="1411" t="s">
        <v>731</v>
      </c>
      <c r="J24" s="1411" t="s">
        <v>137</v>
      </c>
      <c r="K24" s="1411" t="s">
        <v>731</v>
      </c>
    </row>
    <row r="25" spans="1:26" ht="15" customHeight="1">
      <c r="A25" s="1417"/>
      <c r="B25" s="1411"/>
      <c r="C25" s="1411"/>
      <c r="D25" s="1032" t="s">
        <v>138</v>
      </c>
      <c r="E25" s="1032" t="s">
        <v>139</v>
      </c>
      <c r="F25" s="1032" t="s">
        <v>138</v>
      </c>
      <c r="G25" s="1032" t="s">
        <v>139</v>
      </c>
      <c r="H25" s="1411"/>
      <c r="I25" s="1411"/>
      <c r="J25" s="1411"/>
      <c r="K25" s="1411"/>
    </row>
    <row r="26" spans="1:26" ht="20.100000000000001" customHeight="1">
      <c r="A26" s="1429" t="s">
        <v>141</v>
      </c>
      <c r="B26" s="196" t="s">
        <v>157</v>
      </c>
      <c r="C26" s="1431">
        <v>106</v>
      </c>
      <c r="D26" s="1433">
        <f>48+5</f>
        <v>53</v>
      </c>
      <c r="E26" s="1433">
        <v>16</v>
      </c>
      <c r="F26" s="1433"/>
      <c r="G26" s="1433"/>
      <c r="H26" s="1418">
        <f>SUM(D26:G26)</f>
        <v>69</v>
      </c>
      <c r="I26" s="1432">
        <f>18.989+180.754</f>
        <v>199.74299999999999</v>
      </c>
      <c r="J26" s="1433">
        <f>+C26-H26</f>
        <v>37</v>
      </c>
      <c r="K26" s="1434">
        <f>+K13</f>
        <v>79.91100000000003</v>
      </c>
    </row>
    <row r="27" spans="1:26" ht="20.100000000000001" customHeight="1">
      <c r="A27" s="1430"/>
      <c r="B27" s="196" t="s">
        <v>158</v>
      </c>
      <c r="C27" s="1431"/>
      <c r="D27" s="1419"/>
      <c r="E27" s="1419"/>
      <c r="F27" s="1419"/>
      <c r="G27" s="1419"/>
      <c r="H27" s="1419"/>
      <c r="I27" s="1421"/>
      <c r="J27" s="1419"/>
      <c r="K27" s="1423"/>
    </row>
    <row r="28" spans="1:26" ht="20.100000000000001" customHeight="1">
      <c r="A28" s="1429" t="s">
        <v>142</v>
      </c>
      <c r="B28" s="196" t="s">
        <v>157</v>
      </c>
      <c r="C28" s="1431">
        <v>113</v>
      </c>
      <c r="D28" s="1418">
        <v>25</v>
      </c>
      <c r="E28" s="1418">
        <v>19</v>
      </c>
      <c r="F28" s="1418">
        <v>5</v>
      </c>
      <c r="G28" s="1418">
        <v>0</v>
      </c>
      <c r="H28" s="1418">
        <f>SUM(D28:G28)</f>
        <v>49</v>
      </c>
      <c r="I28" s="1420">
        <v>117.59699999999999</v>
      </c>
      <c r="J28" s="1418">
        <f>SUM(C28-H28)</f>
        <v>64</v>
      </c>
      <c r="K28" s="1422">
        <f>+K15</f>
        <v>110.98</v>
      </c>
    </row>
    <row r="29" spans="1:26" ht="20.100000000000001" customHeight="1">
      <c r="A29" s="1430"/>
      <c r="B29" s="196" t="s">
        <v>158</v>
      </c>
      <c r="C29" s="1431"/>
      <c r="D29" s="1419"/>
      <c r="E29" s="1419"/>
      <c r="F29" s="1419"/>
      <c r="G29" s="1419"/>
      <c r="H29" s="1419"/>
      <c r="I29" s="1421"/>
      <c r="J29" s="1419"/>
      <c r="K29" s="1423"/>
    </row>
    <row r="30" spans="1:26" ht="20.100000000000001" customHeight="1">
      <c r="A30" s="1429" t="s">
        <v>143</v>
      </c>
      <c r="B30" s="196" t="s">
        <v>157</v>
      </c>
      <c r="C30" s="1431">
        <v>199</v>
      </c>
      <c r="D30" s="1418">
        <v>98</v>
      </c>
      <c r="E30" s="1418">
        <v>40</v>
      </c>
      <c r="F30" s="1418">
        <v>28</v>
      </c>
      <c r="G30" s="1418">
        <v>23</v>
      </c>
      <c r="H30" s="1418">
        <f>SUM(D30:G30)</f>
        <v>189</v>
      </c>
      <c r="I30" s="1420">
        <v>346.35199999999998</v>
      </c>
      <c r="J30" s="1418">
        <f>SUM(C30-H30)</f>
        <v>10</v>
      </c>
      <c r="K30" s="1422">
        <f>+K17</f>
        <v>17.43300000000005</v>
      </c>
      <c r="P30" s="1424"/>
      <c r="Q30" s="1425"/>
      <c r="R30" s="429"/>
      <c r="S30" s="429"/>
      <c r="T30" s="429"/>
      <c r="U30" s="429"/>
      <c r="V30" s="429"/>
      <c r="W30" s="429"/>
      <c r="X30" s="823"/>
      <c r="Y30" s="429"/>
      <c r="Z30" s="824"/>
    </row>
    <row r="31" spans="1:26" ht="20.100000000000001" customHeight="1">
      <c r="A31" s="1430"/>
      <c r="B31" s="196" t="s">
        <v>158</v>
      </c>
      <c r="C31" s="1431"/>
      <c r="D31" s="1419"/>
      <c r="E31" s="1419"/>
      <c r="F31" s="1419"/>
      <c r="G31" s="1419"/>
      <c r="H31" s="1419"/>
      <c r="I31" s="1421"/>
      <c r="J31" s="1419"/>
      <c r="K31" s="1423"/>
    </row>
    <row r="32" spans="1:26" ht="20.100000000000001" customHeight="1">
      <c r="A32" s="1031" t="s">
        <v>144</v>
      </c>
      <c r="B32" s="196" t="s">
        <v>157</v>
      </c>
      <c r="C32" s="1033">
        <v>247</v>
      </c>
      <c r="D32" s="12">
        <v>36</v>
      </c>
      <c r="E32" s="12">
        <v>25</v>
      </c>
      <c r="F32" s="12">
        <v>68</v>
      </c>
      <c r="G32" s="12">
        <v>85</v>
      </c>
      <c r="H32" s="12">
        <f>SUM(D32:G32)</f>
        <v>214</v>
      </c>
      <c r="I32" s="820">
        <v>290.92</v>
      </c>
      <c r="J32" s="12">
        <f>SUM(C32-H32)</f>
        <v>33</v>
      </c>
      <c r="K32" s="821">
        <f>+K19</f>
        <v>34.668999999999983</v>
      </c>
    </row>
    <row r="33" spans="1:16384" s="197" customFormat="1" ht="20.100000000000001" customHeight="1">
      <c r="A33" s="1424" t="s">
        <v>136</v>
      </c>
      <c r="B33" s="1425"/>
      <c r="C33" s="429">
        <f>SUM(C26:C32)</f>
        <v>665</v>
      </c>
      <c r="D33" s="429">
        <f>SUM(D26:D32)</f>
        <v>212</v>
      </c>
      <c r="E33" s="429">
        <f t="shared" ref="E33:K33" si="1">SUM(E26:E32)</f>
        <v>100</v>
      </c>
      <c r="F33" s="429">
        <f t="shared" si="1"/>
        <v>101</v>
      </c>
      <c r="G33" s="429">
        <f t="shared" si="1"/>
        <v>108</v>
      </c>
      <c r="H33" s="429">
        <f t="shared" si="1"/>
        <v>521</v>
      </c>
      <c r="I33" s="822">
        <f t="shared" si="1"/>
        <v>954.61200000000008</v>
      </c>
      <c r="J33" s="429">
        <f t="shared" si="1"/>
        <v>144</v>
      </c>
      <c r="K33" s="822">
        <f t="shared" si="1"/>
        <v>242.99300000000005</v>
      </c>
      <c r="L33" s="7"/>
      <c r="M33" s="7"/>
      <c r="N33" s="7"/>
      <c r="O33" s="7"/>
      <c r="P33" s="7"/>
      <c r="Q33" s="7"/>
      <c r="R33" s="7"/>
      <c r="S33" s="7"/>
      <c r="T33" s="7"/>
    </row>
    <row r="34" spans="1:16384" s="197" customFormat="1" ht="12" customHeight="1">
      <c r="A34" s="1426"/>
      <c r="B34" s="1427"/>
      <c r="C34" s="1427"/>
      <c r="D34" s="1427"/>
      <c r="E34" s="1427"/>
      <c r="F34" s="1427"/>
      <c r="G34" s="1427"/>
      <c r="H34" s="1427"/>
      <c r="I34" s="1427"/>
      <c r="J34" s="1427"/>
      <c r="K34" s="1428"/>
      <c r="L34" s="7"/>
      <c r="M34" s="7"/>
      <c r="N34" s="7"/>
      <c r="O34" s="7"/>
      <c r="P34" s="7"/>
      <c r="Q34" s="7"/>
      <c r="R34" s="7"/>
      <c r="S34" s="7"/>
      <c r="T34" s="7"/>
    </row>
    <row r="35" spans="1:16384" ht="18" customHeight="1">
      <c r="A35" s="1417" t="s">
        <v>729</v>
      </c>
      <c r="B35" s="1411" t="s">
        <v>730</v>
      </c>
      <c r="C35" s="1411" t="s">
        <v>131</v>
      </c>
      <c r="D35" s="1410" t="s">
        <v>1636</v>
      </c>
      <c r="E35" s="1410"/>
      <c r="F35" s="1410"/>
      <c r="G35" s="1410"/>
      <c r="H35" s="1410"/>
      <c r="I35" s="1410"/>
      <c r="J35" s="1410"/>
      <c r="K35" s="1410"/>
    </row>
    <row r="36" spans="1:16384" ht="18" customHeight="1">
      <c r="A36" s="1417"/>
      <c r="B36" s="1411"/>
      <c r="C36" s="1411"/>
      <c r="D36" s="1435" t="s">
        <v>159</v>
      </c>
      <c r="E36" s="1435"/>
      <c r="F36" s="1435"/>
      <c r="G36" s="1435"/>
      <c r="H36" s="1435"/>
      <c r="I36" s="1435"/>
      <c r="J36" s="1435" t="s">
        <v>133</v>
      </c>
      <c r="K36" s="1436"/>
    </row>
    <row r="37" spans="1:16384" ht="15" customHeight="1">
      <c r="A37" s="1417"/>
      <c r="B37" s="1411"/>
      <c r="C37" s="1411"/>
      <c r="D37" s="1411" t="s">
        <v>134</v>
      </c>
      <c r="E37" s="1411"/>
      <c r="F37" s="1411" t="s">
        <v>135</v>
      </c>
      <c r="G37" s="1411"/>
      <c r="H37" s="1411" t="s">
        <v>136</v>
      </c>
      <c r="I37" s="1411" t="s">
        <v>731</v>
      </c>
      <c r="J37" s="1411" t="s">
        <v>137</v>
      </c>
      <c r="K37" s="1411" t="s">
        <v>731</v>
      </c>
    </row>
    <row r="38" spans="1:16384" ht="15" customHeight="1">
      <c r="A38" s="1417"/>
      <c r="B38" s="1411"/>
      <c r="C38" s="1411"/>
      <c r="D38" s="1032" t="s">
        <v>138</v>
      </c>
      <c r="E38" s="1032" t="s">
        <v>139</v>
      </c>
      <c r="F38" s="1032" t="s">
        <v>138</v>
      </c>
      <c r="G38" s="1032" t="s">
        <v>139</v>
      </c>
      <c r="H38" s="1411"/>
      <c r="I38" s="1411"/>
      <c r="J38" s="1411"/>
      <c r="K38" s="1411"/>
    </row>
    <row r="39" spans="1:16384" ht="20.100000000000001" customHeight="1">
      <c r="A39" s="1429" t="s">
        <v>141</v>
      </c>
      <c r="B39" s="196" t="s">
        <v>157</v>
      </c>
      <c r="C39" s="1431">
        <v>106</v>
      </c>
      <c r="D39" s="1433">
        <v>59</v>
      </c>
      <c r="E39" s="1433">
        <v>19</v>
      </c>
      <c r="F39" s="1433"/>
      <c r="G39" s="1433"/>
      <c r="H39" s="1418">
        <f>SUM(D39:G39)</f>
        <v>78</v>
      </c>
      <c r="I39" s="1432">
        <v>212.77</v>
      </c>
      <c r="J39" s="1433">
        <f>+C39-H39</f>
        <v>28</v>
      </c>
      <c r="K39" s="1434">
        <v>41.408999999999999</v>
      </c>
    </row>
    <row r="40" spans="1:16384" ht="20.100000000000001" customHeight="1">
      <c r="A40" s="1430"/>
      <c r="B40" s="196" t="s">
        <v>158</v>
      </c>
      <c r="C40" s="1431"/>
      <c r="D40" s="1419"/>
      <c r="E40" s="1419"/>
      <c r="F40" s="1419"/>
      <c r="G40" s="1419"/>
      <c r="H40" s="1419"/>
      <c r="I40" s="1421"/>
      <c r="J40" s="1419"/>
      <c r="K40" s="1423"/>
    </row>
    <row r="41" spans="1:16384" ht="20.100000000000001" customHeight="1">
      <c r="A41" s="1429" t="s">
        <v>142</v>
      </c>
      <c r="B41" s="196" t="s">
        <v>157</v>
      </c>
      <c r="C41" s="1431">
        <v>107</v>
      </c>
      <c r="D41" s="1418">
        <v>24</v>
      </c>
      <c r="E41" s="1418">
        <v>21</v>
      </c>
      <c r="F41" s="1418">
        <v>8</v>
      </c>
      <c r="G41" s="1418">
        <v>3</v>
      </c>
      <c r="H41" s="1418">
        <f>SUM(D41:G41)</f>
        <v>56</v>
      </c>
      <c r="I41" s="1420">
        <v>126.657</v>
      </c>
      <c r="J41" s="1418">
        <f>SUM(C41-H41)</f>
        <v>51</v>
      </c>
      <c r="K41" s="1422">
        <v>85.936000000000007</v>
      </c>
    </row>
    <row r="42" spans="1:16384" ht="20.100000000000001" customHeight="1">
      <c r="A42" s="1430"/>
      <c r="B42" s="196" t="s">
        <v>158</v>
      </c>
      <c r="C42" s="1431"/>
      <c r="D42" s="1419"/>
      <c r="E42" s="1419"/>
      <c r="F42" s="1419"/>
      <c r="G42" s="1419"/>
      <c r="H42" s="1419"/>
      <c r="I42" s="1421"/>
      <c r="J42" s="1419"/>
      <c r="K42" s="1423"/>
    </row>
    <row r="43" spans="1:16384" ht="20.100000000000001" customHeight="1">
      <c r="A43" s="1429" t="s">
        <v>143</v>
      </c>
      <c r="B43" s="196" t="s">
        <v>157</v>
      </c>
      <c r="C43" s="1431">
        <v>206</v>
      </c>
      <c r="D43" s="1418">
        <v>77</v>
      </c>
      <c r="E43" s="1418">
        <v>29</v>
      </c>
      <c r="F43" s="1418">
        <v>48</v>
      </c>
      <c r="G43" s="1418">
        <v>36</v>
      </c>
      <c r="H43" s="1418">
        <f>SUM(D43:G43)</f>
        <v>190</v>
      </c>
      <c r="I43" s="1420">
        <v>319.78800000000001</v>
      </c>
      <c r="J43" s="1418">
        <f>SUM(C43-H43)</f>
        <v>16</v>
      </c>
      <c r="K43" s="1422">
        <v>19.800999999999998</v>
      </c>
    </row>
    <row r="44" spans="1:16384" ht="20.100000000000001" customHeight="1">
      <c r="A44" s="1430"/>
      <c r="B44" s="196" t="s">
        <v>158</v>
      </c>
      <c r="C44" s="1431"/>
      <c r="D44" s="1419"/>
      <c r="E44" s="1419"/>
      <c r="F44" s="1419"/>
      <c r="G44" s="1419"/>
      <c r="H44" s="1419"/>
      <c r="I44" s="1421"/>
      <c r="J44" s="1419"/>
      <c r="K44" s="1423"/>
    </row>
    <row r="45" spans="1:16384" ht="20.100000000000001" customHeight="1">
      <c r="A45" s="1031" t="s">
        <v>144</v>
      </c>
      <c r="B45" s="196" t="s">
        <v>157</v>
      </c>
      <c r="C45" s="1033">
        <v>281</v>
      </c>
      <c r="D45" s="12">
        <v>18</v>
      </c>
      <c r="E45" s="12">
        <v>12</v>
      </c>
      <c r="F45" s="12">
        <v>98</v>
      </c>
      <c r="G45" s="12">
        <v>120</v>
      </c>
      <c r="H45" s="12">
        <f>SUM(D45:G45)</f>
        <v>248</v>
      </c>
      <c r="I45" s="820">
        <v>306.44900000000001</v>
      </c>
      <c r="J45" s="12">
        <f>SUM(C45-H45)</f>
        <v>33</v>
      </c>
      <c r="K45" s="821">
        <v>28.24</v>
      </c>
    </row>
    <row r="46" spans="1:16384" s="199" customFormat="1" ht="20.100000000000001" customHeight="1">
      <c r="A46" s="1439" t="s">
        <v>136</v>
      </c>
      <c r="B46" s="1440"/>
      <c r="C46" s="429">
        <f>SUM(C39:C45)</f>
        <v>700</v>
      </c>
      <c r="D46" s="429">
        <f>SUM(D39:D45)</f>
        <v>178</v>
      </c>
      <c r="E46" s="429">
        <f t="shared" ref="E46:K46" si="2">SUM(E39:E45)</f>
        <v>81</v>
      </c>
      <c r="F46" s="429">
        <f t="shared" si="2"/>
        <v>154</v>
      </c>
      <c r="G46" s="429">
        <f t="shared" si="2"/>
        <v>159</v>
      </c>
      <c r="H46" s="429">
        <f t="shared" si="2"/>
        <v>572</v>
      </c>
      <c r="I46" s="822">
        <f t="shared" si="2"/>
        <v>965.66399999999999</v>
      </c>
      <c r="J46" s="429">
        <f t="shared" si="2"/>
        <v>128</v>
      </c>
      <c r="K46" s="822">
        <f t="shared" si="2"/>
        <v>175.386</v>
      </c>
      <c r="L46" s="1441"/>
      <c r="M46" s="1442"/>
      <c r="N46" s="232"/>
      <c r="O46" s="232"/>
      <c r="P46" s="232"/>
      <c r="Q46" s="232"/>
      <c r="R46" s="232"/>
      <c r="S46" s="232"/>
      <c r="T46" s="825"/>
      <c r="U46" s="229"/>
      <c r="V46" s="826"/>
      <c r="W46" s="1437"/>
      <c r="X46" s="1438"/>
      <c r="Y46" s="198"/>
      <c r="Z46" s="198"/>
      <c r="AA46" s="198"/>
      <c r="AB46" s="198"/>
      <c r="AC46" s="198"/>
      <c r="AD46" s="198"/>
      <c r="AE46" s="827"/>
      <c r="AF46" s="198"/>
      <c r="AG46" s="826"/>
      <c r="AH46" s="1437"/>
      <c r="AI46" s="1438"/>
      <c r="AJ46" s="198"/>
      <c r="AK46" s="198"/>
      <c r="AL46" s="198"/>
      <c r="AM46" s="198"/>
      <c r="AN46" s="198"/>
      <c r="AO46" s="198"/>
      <c r="AP46" s="827"/>
      <c r="AQ46" s="198"/>
      <c r="AR46" s="826"/>
      <c r="AS46" s="1437"/>
      <c r="AT46" s="1438"/>
      <c r="AU46" s="198"/>
      <c r="AV46" s="198"/>
      <c r="AW46" s="198"/>
      <c r="AX46" s="198"/>
      <c r="AY46" s="198"/>
      <c r="AZ46" s="198"/>
      <c r="BA46" s="827"/>
      <c r="BB46" s="198"/>
      <c r="BC46" s="826"/>
      <c r="BD46" s="1437"/>
      <c r="BE46" s="1438"/>
      <c r="BF46" s="198"/>
      <c r="BG46" s="198"/>
      <c r="BH46" s="198"/>
      <c r="BI46" s="198"/>
      <c r="BJ46" s="198"/>
      <c r="BK46" s="198"/>
      <c r="BL46" s="827"/>
      <c r="BM46" s="198"/>
      <c r="BN46" s="826"/>
      <c r="BO46" s="1437"/>
      <c r="BP46" s="1438"/>
      <c r="BQ46" s="198"/>
      <c r="BR46" s="198"/>
      <c r="BS46" s="198"/>
      <c r="BT46" s="198"/>
      <c r="BU46" s="198"/>
      <c r="BV46" s="198"/>
      <c r="BW46" s="827"/>
      <c r="BX46" s="198"/>
      <c r="BY46" s="826"/>
      <c r="BZ46" s="1437"/>
      <c r="CA46" s="1438"/>
      <c r="CB46" s="198"/>
      <c r="CC46" s="198"/>
      <c r="CD46" s="198"/>
      <c r="CE46" s="198"/>
      <c r="CF46" s="198"/>
      <c r="CG46" s="198"/>
      <c r="CH46" s="827"/>
      <c r="CI46" s="198"/>
      <c r="CJ46" s="826"/>
      <c r="CK46" s="1437"/>
      <c r="CL46" s="1438"/>
      <c r="CM46" s="198"/>
      <c r="CN46" s="198"/>
      <c r="CO46" s="198"/>
      <c r="CP46" s="198"/>
      <c r="CQ46" s="198"/>
      <c r="CR46" s="198"/>
      <c r="CS46" s="827"/>
      <c r="CT46" s="198"/>
      <c r="CU46" s="826"/>
      <c r="CV46" s="1437"/>
      <c r="CW46" s="1438"/>
      <c r="CX46" s="198"/>
      <c r="CY46" s="198"/>
      <c r="CZ46" s="198"/>
      <c r="DA46" s="198"/>
      <c r="DB46" s="198"/>
      <c r="DC46" s="198"/>
      <c r="DD46" s="827"/>
      <c r="DE46" s="198"/>
      <c r="DF46" s="826"/>
      <c r="DG46" s="1437"/>
      <c r="DH46" s="1438"/>
      <c r="DI46" s="198"/>
      <c r="DJ46" s="198"/>
      <c r="DK46" s="198"/>
      <c r="DL46" s="198"/>
      <c r="DM46" s="198"/>
      <c r="DN46" s="198"/>
      <c r="DO46" s="827"/>
      <c r="DP46" s="198"/>
      <c r="DQ46" s="826"/>
      <c r="DR46" s="1437"/>
      <c r="DS46" s="1438"/>
      <c r="DT46" s="198"/>
      <c r="DU46" s="198"/>
      <c r="DV46" s="198"/>
      <c r="DW46" s="198"/>
      <c r="DX46" s="198"/>
      <c r="DY46" s="198"/>
      <c r="DZ46" s="827"/>
      <c r="EA46" s="198"/>
      <c r="EB46" s="826"/>
      <c r="EC46" s="1437"/>
      <c r="ED46" s="1438"/>
      <c r="EE46" s="198"/>
      <c r="EF46" s="198"/>
      <c r="EG46" s="198"/>
      <c r="EH46" s="198"/>
      <c r="EI46" s="198"/>
      <c r="EJ46" s="198"/>
      <c r="EK46" s="827"/>
      <c r="EL46" s="198"/>
      <c r="EM46" s="826"/>
      <c r="EN46" s="1437"/>
      <c r="EO46" s="1438"/>
      <c r="EP46" s="198"/>
      <c r="EQ46" s="198"/>
      <c r="ER46" s="198"/>
      <c r="ES46" s="198"/>
      <c r="ET46" s="198"/>
      <c r="EU46" s="198"/>
      <c r="EV46" s="827"/>
      <c r="EW46" s="198"/>
      <c r="EX46" s="826"/>
      <c r="EY46" s="1437"/>
      <c r="EZ46" s="1438"/>
      <c r="FA46" s="198"/>
      <c r="FB46" s="198"/>
      <c r="FC46" s="198"/>
      <c r="FD46" s="198"/>
      <c r="FE46" s="198"/>
      <c r="FF46" s="198"/>
      <c r="FG46" s="827"/>
      <c r="FH46" s="198"/>
      <c r="FI46" s="826"/>
      <c r="FJ46" s="1437"/>
      <c r="FK46" s="1438"/>
      <c r="FL46" s="198"/>
      <c r="FM46" s="198"/>
      <c r="FN46" s="198"/>
      <c r="FO46" s="198"/>
      <c r="FP46" s="198"/>
      <c r="FQ46" s="198"/>
      <c r="FR46" s="827"/>
      <c r="FS46" s="198"/>
      <c r="FT46" s="826"/>
      <c r="FU46" s="1437"/>
      <c r="FV46" s="1438"/>
      <c r="FW46" s="198"/>
      <c r="FX46" s="198"/>
      <c r="FY46" s="198"/>
      <c r="FZ46" s="198"/>
      <c r="GA46" s="198"/>
      <c r="GB46" s="198"/>
      <c r="GC46" s="827"/>
      <c r="GD46" s="198"/>
      <c r="GE46" s="826"/>
      <c r="GF46" s="1437"/>
      <c r="GG46" s="1438"/>
      <c r="GH46" s="198"/>
      <c r="GI46" s="198"/>
      <c r="GJ46" s="198"/>
      <c r="GK46" s="198"/>
      <c r="GL46" s="198"/>
      <c r="GM46" s="198"/>
      <c r="GN46" s="827"/>
      <c r="GO46" s="198"/>
      <c r="GP46" s="826"/>
      <c r="GQ46" s="1437"/>
      <c r="GR46" s="1438"/>
      <c r="GS46" s="198"/>
      <c r="GT46" s="198"/>
      <c r="GU46" s="198"/>
      <c r="GV46" s="198"/>
      <c r="GW46" s="198"/>
      <c r="GX46" s="198"/>
      <c r="GY46" s="827"/>
      <c r="GZ46" s="198"/>
      <c r="HA46" s="826"/>
      <c r="HB46" s="1437"/>
      <c r="HC46" s="1438"/>
      <c r="HD46" s="198"/>
      <c r="HE46" s="198"/>
      <c r="HF46" s="198"/>
      <c r="HG46" s="198"/>
      <c r="HH46" s="198"/>
      <c r="HI46" s="198"/>
      <c r="HJ46" s="827"/>
      <c r="HK46" s="198"/>
      <c r="HL46" s="826"/>
      <c r="HM46" s="1437"/>
      <c r="HN46" s="1438"/>
      <c r="HO46" s="198"/>
      <c r="HP46" s="198"/>
      <c r="HQ46" s="198"/>
      <c r="HR46" s="198"/>
      <c r="HS46" s="198"/>
      <c r="HT46" s="198"/>
      <c r="HU46" s="827"/>
      <c r="HV46" s="198"/>
      <c r="HW46" s="826"/>
      <c r="HX46" s="1437"/>
      <c r="HY46" s="1438"/>
      <c r="HZ46" s="198"/>
      <c r="IA46" s="198"/>
      <c r="IB46" s="198"/>
      <c r="IC46" s="198"/>
      <c r="ID46" s="198"/>
      <c r="IE46" s="198"/>
      <c r="IF46" s="827"/>
      <c r="IG46" s="198"/>
      <c r="IH46" s="826"/>
      <c r="II46" s="1437"/>
      <c r="IJ46" s="1438"/>
      <c r="IK46" s="198"/>
      <c r="IL46" s="198"/>
      <c r="IM46" s="198"/>
      <c r="IN46" s="198"/>
      <c r="IO46" s="198"/>
      <c r="IP46" s="198"/>
      <c r="IQ46" s="827"/>
      <c r="IR46" s="198"/>
      <c r="IS46" s="826"/>
      <c r="IT46" s="1437"/>
      <c r="IU46" s="1438"/>
      <c r="IV46" s="198"/>
      <c r="IW46" s="198"/>
      <c r="IX46" s="198"/>
      <c r="IY46" s="198"/>
      <c r="IZ46" s="198"/>
      <c r="JA46" s="198"/>
      <c r="JB46" s="827"/>
      <c r="JC46" s="198"/>
      <c r="JD46" s="826"/>
      <c r="JE46" s="1437"/>
      <c r="JF46" s="1438"/>
      <c r="JG46" s="198"/>
      <c r="JH46" s="198"/>
      <c r="JI46" s="198"/>
      <c r="JJ46" s="198"/>
      <c r="JK46" s="198"/>
      <c r="JL46" s="198"/>
      <c r="JM46" s="827"/>
      <c r="JN46" s="198"/>
      <c r="JO46" s="826"/>
      <c r="JP46" s="1437"/>
      <c r="JQ46" s="1438"/>
      <c r="JR46" s="198"/>
      <c r="JS46" s="198"/>
      <c r="JT46" s="198"/>
      <c r="JU46" s="198"/>
      <c r="JV46" s="198"/>
      <c r="JW46" s="198"/>
      <c r="JX46" s="827"/>
      <c r="JY46" s="198"/>
      <c r="JZ46" s="826"/>
      <c r="KA46" s="1437"/>
      <c r="KB46" s="1438"/>
      <c r="KC46" s="198"/>
      <c r="KD46" s="198"/>
      <c r="KE46" s="198"/>
      <c r="KF46" s="198"/>
      <c r="KG46" s="198"/>
      <c r="KH46" s="198"/>
      <c r="KI46" s="827"/>
      <c r="KJ46" s="198"/>
      <c r="KK46" s="826"/>
      <c r="KL46" s="1437"/>
      <c r="KM46" s="1438"/>
      <c r="KN46" s="198"/>
      <c r="KO46" s="198"/>
      <c r="KP46" s="198"/>
      <c r="KQ46" s="198"/>
      <c r="KR46" s="198"/>
      <c r="KS46" s="198"/>
      <c r="KT46" s="827"/>
      <c r="KU46" s="198"/>
      <c r="KV46" s="826"/>
      <c r="KW46" s="1437"/>
      <c r="KX46" s="1438"/>
      <c r="KY46" s="198"/>
      <c r="KZ46" s="198"/>
      <c r="LA46" s="198"/>
      <c r="LB46" s="198"/>
      <c r="LC46" s="198"/>
      <c r="LD46" s="198"/>
      <c r="LE46" s="827"/>
      <c r="LF46" s="198"/>
      <c r="LG46" s="826"/>
      <c r="LH46" s="1437"/>
      <c r="LI46" s="1438"/>
      <c r="LJ46" s="198"/>
      <c r="LK46" s="198"/>
      <c r="LL46" s="198"/>
      <c r="LM46" s="198"/>
      <c r="LN46" s="198"/>
      <c r="LO46" s="198"/>
      <c r="LP46" s="827"/>
      <c r="LQ46" s="198"/>
      <c r="LR46" s="826"/>
      <c r="LS46" s="1437"/>
      <c r="LT46" s="1438"/>
      <c r="LU46" s="198"/>
      <c r="LV46" s="198"/>
      <c r="LW46" s="198"/>
      <c r="LX46" s="198"/>
      <c r="LY46" s="198"/>
      <c r="LZ46" s="198"/>
      <c r="MA46" s="827"/>
      <c r="MB46" s="198"/>
      <c r="MC46" s="826"/>
      <c r="MD46" s="1437"/>
      <c r="ME46" s="1438"/>
      <c r="MF46" s="198"/>
      <c r="MG46" s="198"/>
      <c r="MH46" s="198"/>
      <c r="MI46" s="198"/>
      <c r="MJ46" s="198"/>
      <c r="MK46" s="198"/>
      <c r="ML46" s="827"/>
      <c r="MM46" s="198"/>
      <c r="MN46" s="826"/>
      <c r="MO46" s="1437"/>
      <c r="MP46" s="1438"/>
      <c r="MQ46" s="198"/>
      <c r="MR46" s="198"/>
      <c r="MS46" s="198"/>
      <c r="MT46" s="198"/>
      <c r="MU46" s="198"/>
      <c r="MV46" s="198"/>
      <c r="MW46" s="827"/>
      <c r="MX46" s="198"/>
      <c r="MY46" s="826"/>
      <c r="MZ46" s="1437"/>
      <c r="NA46" s="1438"/>
      <c r="NB46" s="198"/>
      <c r="NC46" s="198"/>
      <c r="ND46" s="198"/>
      <c r="NE46" s="198"/>
      <c r="NF46" s="198"/>
      <c r="NG46" s="198"/>
      <c r="NH46" s="827"/>
      <c r="NI46" s="198"/>
      <c r="NJ46" s="826"/>
      <c r="NK46" s="1437"/>
      <c r="NL46" s="1438"/>
      <c r="NM46" s="198"/>
      <c r="NN46" s="198"/>
      <c r="NO46" s="198"/>
      <c r="NP46" s="198"/>
      <c r="NQ46" s="198"/>
      <c r="NR46" s="198"/>
      <c r="NS46" s="827"/>
      <c r="NT46" s="198"/>
      <c r="NU46" s="826"/>
      <c r="NV46" s="1437"/>
      <c r="NW46" s="1438"/>
      <c r="NX46" s="198"/>
      <c r="NY46" s="198"/>
      <c r="NZ46" s="198"/>
      <c r="OA46" s="198"/>
      <c r="OB46" s="198"/>
      <c r="OC46" s="198"/>
      <c r="OD46" s="827"/>
      <c r="OE46" s="198"/>
      <c r="OF46" s="826"/>
      <c r="OG46" s="1437"/>
      <c r="OH46" s="1438"/>
      <c r="OI46" s="198"/>
      <c r="OJ46" s="198"/>
      <c r="OK46" s="198"/>
      <c r="OL46" s="198"/>
      <c r="OM46" s="198"/>
      <c r="ON46" s="198"/>
      <c r="OO46" s="827"/>
      <c r="OP46" s="198"/>
      <c r="OQ46" s="826"/>
      <c r="OR46" s="1437"/>
      <c r="OS46" s="1438"/>
      <c r="OT46" s="198"/>
      <c r="OU46" s="198"/>
      <c r="OV46" s="198"/>
      <c r="OW46" s="198"/>
      <c r="OX46" s="198"/>
      <c r="OY46" s="198"/>
      <c r="OZ46" s="827"/>
      <c r="PA46" s="198"/>
      <c r="PB46" s="826"/>
      <c r="PC46" s="1437"/>
      <c r="PD46" s="1438"/>
      <c r="PE46" s="198"/>
      <c r="PF46" s="198"/>
      <c r="PG46" s="198"/>
      <c r="PH46" s="198"/>
      <c r="PI46" s="198"/>
      <c r="PJ46" s="198"/>
      <c r="PK46" s="827"/>
      <c r="PL46" s="198"/>
      <c r="PM46" s="826"/>
      <c r="PN46" s="1437"/>
      <c r="PO46" s="1438"/>
      <c r="PP46" s="198"/>
      <c r="PQ46" s="198"/>
      <c r="PR46" s="198"/>
      <c r="PS46" s="198"/>
      <c r="PT46" s="198"/>
      <c r="PU46" s="198"/>
      <c r="PV46" s="827"/>
      <c r="PW46" s="198"/>
      <c r="PX46" s="826"/>
      <c r="PY46" s="1437"/>
      <c r="PZ46" s="1438"/>
      <c r="QA46" s="198"/>
      <c r="QB46" s="198"/>
      <c r="QC46" s="198"/>
      <c r="QD46" s="198"/>
      <c r="QE46" s="198"/>
      <c r="QF46" s="198"/>
      <c r="QG46" s="827"/>
      <c r="QH46" s="198"/>
      <c r="QI46" s="826"/>
      <c r="QJ46" s="1437"/>
      <c r="QK46" s="1438"/>
      <c r="QL46" s="198"/>
      <c r="QM46" s="198"/>
      <c r="QN46" s="198"/>
      <c r="QO46" s="198"/>
      <c r="QP46" s="198"/>
      <c r="QQ46" s="198"/>
      <c r="QR46" s="827"/>
      <c r="QS46" s="198"/>
      <c r="QT46" s="826"/>
      <c r="QU46" s="1437"/>
      <c r="QV46" s="1438"/>
      <c r="QW46" s="198"/>
      <c r="QX46" s="198"/>
      <c r="QY46" s="198"/>
      <c r="QZ46" s="198"/>
      <c r="RA46" s="198"/>
      <c r="RB46" s="198"/>
      <c r="RC46" s="827"/>
      <c r="RD46" s="198"/>
      <c r="RE46" s="826"/>
      <c r="RF46" s="1437"/>
      <c r="RG46" s="1438"/>
      <c r="RH46" s="198"/>
      <c r="RI46" s="198"/>
      <c r="RJ46" s="198"/>
      <c r="RK46" s="198"/>
      <c r="RL46" s="198"/>
      <c r="RM46" s="198"/>
      <c r="RN46" s="827"/>
      <c r="RO46" s="198"/>
      <c r="RP46" s="826"/>
      <c r="RQ46" s="1437"/>
      <c r="RR46" s="1438"/>
      <c r="RS46" s="198"/>
      <c r="RT46" s="198"/>
      <c r="RU46" s="198"/>
      <c r="RV46" s="198"/>
      <c r="RW46" s="198"/>
      <c r="RX46" s="198"/>
      <c r="RY46" s="827"/>
      <c r="RZ46" s="198"/>
      <c r="SA46" s="826"/>
      <c r="SB46" s="1437"/>
      <c r="SC46" s="1438"/>
      <c r="SD46" s="198"/>
      <c r="SE46" s="198"/>
      <c r="SF46" s="198"/>
      <c r="SG46" s="198"/>
      <c r="SH46" s="198"/>
      <c r="SI46" s="198"/>
      <c r="SJ46" s="827"/>
      <c r="SK46" s="198"/>
      <c r="SL46" s="826"/>
      <c r="SM46" s="1437"/>
      <c r="SN46" s="1438"/>
      <c r="SO46" s="198"/>
      <c r="SP46" s="198"/>
      <c r="SQ46" s="198"/>
      <c r="SR46" s="198"/>
      <c r="SS46" s="198"/>
      <c r="ST46" s="198"/>
      <c r="SU46" s="827"/>
      <c r="SV46" s="198"/>
      <c r="SW46" s="826"/>
      <c r="SX46" s="1437"/>
      <c r="SY46" s="1438"/>
      <c r="SZ46" s="198"/>
      <c r="TA46" s="198"/>
      <c r="TB46" s="198"/>
      <c r="TC46" s="198"/>
      <c r="TD46" s="198"/>
      <c r="TE46" s="198"/>
      <c r="TF46" s="827"/>
      <c r="TG46" s="198"/>
      <c r="TH46" s="826"/>
      <c r="TI46" s="1437"/>
      <c r="TJ46" s="1438"/>
      <c r="TK46" s="198"/>
      <c r="TL46" s="198"/>
      <c r="TM46" s="198"/>
      <c r="TN46" s="198"/>
      <c r="TO46" s="198"/>
      <c r="TP46" s="198"/>
      <c r="TQ46" s="827"/>
      <c r="TR46" s="198"/>
      <c r="TS46" s="826"/>
      <c r="TT46" s="1437"/>
      <c r="TU46" s="1438"/>
      <c r="TV46" s="198"/>
      <c r="TW46" s="198"/>
      <c r="TX46" s="198"/>
      <c r="TY46" s="198"/>
      <c r="TZ46" s="198"/>
      <c r="UA46" s="198"/>
      <c r="UB46" s="827"/>
      <c r="UC46" s="198"/>
      <c r="UD46" s="826"/>
      <c r="UE46" s="1437"/>
      <c r="UF46" s="1438"/>
      <c r="UG46" s="198"/>
      <c r="UH46" s="198"/>
      <c r="UI46" s="198"/>
      <c r="UJ46" s="198"/>
      <c r="UK46" s="198"/>
      <c r="UL46" s="198"/>
      <c r="UM46" s="827"/>
      <c r="UN46" s="198"/>
      <c r="UO46" s="826"/>
      <c r="UP46" s="1437"/>
      <c r="UQ46" s="1438"/>
      <c r="UR46" s="198"/>
      <c r="US46" s="198"/>
      <c r="UT46" s="198"/>
      <c r="UU46" s="198"/>
      <c r="UV46" s="198"/>
      <c r="UW46" s="198"/>
      <c r="UX46" s="827"/>
      <c r="UY46" s="198"/>
      <c r="UZ46" s="826"/>
      <c r="VA46" s="1437"/>
      <c r="VB46" s="1438"/>
      <c r="VC46" s="198"/>
      <c r="VD46" s="198"/>
      <c r="VE46" s="198"/>
      <c r="VF46" s="198"/>
      <c r="VG46" s="198"/>
      <c r="VH46" s="198"/>
      <c r="VI46" s="827"/>
      <c r="VJ46" s="198"/>
      <c r="VK46" s="826"/>
      <c r="VL46" s="1437"/>
      <c r="VM46" s="1438"/>
      <c r="VN46" s="198"/>
      <c r="VO46" s="198"/>
      <c r="VP46" s="198"/>
      <c r="VQ46" s="198"/>
      <c r="VR46" s="198"/>
      <c r="VS46" s="198"/>
      <c r="VT46" s="827"/>
      <c r="VU46" s="198"/>
      <c r="VV46" s="826"/>
      <c r="VW46" s="1437"/>
      <c r="VX46" s="1438"/>
      <c r="VY46" s="198"/>
      <c r="VZ46" s="198"/>
      <c r="WA46" s="198"/>
      <c r="WB46" s="198"/>
      <c r="WC46" s="198"/>
      <c r="WD46" s="198"/>
      <c r="WE46" s="827"/>
      <c r="WF46" s="198"/>
      <c r="WG46" s="826"/>
      <c r="WH46" s="1437"/>
      <c r="WI46" s="1438"/>
      <c r="WJ46" s="198"/>
      <c r="WK46" s="198"/>
      <c r="WL46" s="198"/>
      <c r="WM46" s="198"/>
      <c r="WN46" s="198"/>
      <c r="WO46" s="198"/>
      <c r="WP46" s="827"/>
      <c r="WQ46" s="198"/>
      <c r="WR46" s="826"/>
      <c r="WS46" s="1437"/>
      <c r="WT46" s="1438"/>
      <c r="WU46" s="198"/>
      <c r="WV46" s="198"/>
      <c r="WW46" s="198"/>
      <c r="WX46" s="198"/>
      <c r="WY46" s="198"/>
      <c r="WZ46" s="198"/>
      <c r="XA46" s="827"/>
      <c r="XB46" s="198"/>
      <c r="XC46" s="826"/>
      <c r="XD46" s="1437"/>
      <c r="XE46" s="1438"/>
      <c r="XF46" s="198"/>
      <c r="XG46" s="198"/>
      <c r="XH46" s="198"/>
      <c r="XI46" s="198"/>
      <c r="XJ46" s="198"/>
      <c r="XK46" s="198"/>
      <c r="XL46" s="827"/>
      <c r="XM46" s="198"/>
      <c r="XN46" s="826"/>
      <c r="XO46" s="1437"/>
      <c r="XP46" s="1438"/>
      <c r="XQ46" s="198"/>
      <c r="XR46" s="198"/>
      <c r="XS46" s="198"/>
      <c r="XT46" s="198"/>
      <c r="XU46" s="198"/>
      <c r="XV46" s="198"/>
      <c r="XW46" s="827"/>
      <c r="XX46" s="198"/>
      <c r="XY46" s="826"/>
      <c r="XZ46" s="1437"/>
      <c r="YA46" s="1438"/>
      <c r="YB46" s="198"/>
      <c r="YC46" s="198"/>
      <c r="YD46" s="198"/>
      <c r="YE46" s="198"/>
      <c r="YF46" s="198"/>
      <c r="YG46" s="198"/>
      <c r="YH46" s="827"/>
      <c r="YI46" s="198"/>
      <c r="YJ46" s="826"/>
      <c r="YK46" s="1437"/>
      <c r="YL46" s="1438"/>
      <c r="YM46" s="198"/>
      <c r="YN46" s="198"/>
      <c r="YO46" s="198"/>
      <c r="YP46" s="198"/>
      <c r="YQ46" s="198"/>
      <c r="YR46" s="198"/>
      <c r="YS46" s="827"/>
      <c r="YT46" s="198"/>
      <c r="YU46" s="826"/>
      <c r="YV46" s="1437"/>
      <c r="YW46" s="1438"/>
      <c r="YX46" s="198"/>
      <c r="YY46" s="198"/>
      <c r="YZ46" s="198"/>
      <c r="ZA46" s="198"/>
      <c r="ZB46" s="198"/>
      <c r="ZC46" s="198"/>
      <c r="ZD46" s="827"/>
      <c r="ZE46" s="198"/>
      <c r="ZF46" s="826"/>
      <c r="ZG46" s="1437"/>
      <c r="ZH46" s="1438"/>
      <c r="ZI46" s="198"/>
      <c r="ZJ46" s="198"/>
      <c r="ZK46" s="198"/>
      <c r="ZL46" s="198"/>
      <c r="ZM46" s="198"/>
      <c r="ZN46" s="198"/>
      <c r="ZO46" s="827"/>
      <c r="ZP46" s="198"/>
      <c r="ZQ46" s="826"/>
      <c r="ZR46" s="1437"/>
      <c r="ZS46" s="1438"/>
      <c r="ZT46" s="198"/>
      <c r="ZU46" s="198"/>
      <c r="ZV46" s="198"/>
      <c r="ZW46" s="198"/>
      <c r="ZX46" s="198"/>
      <c r="ZY46" s="198"/>
      <c r="ZZ46" s="827"/>
      <c r="AAA46" s="198"/>
      <c r="AAB46" s="826"/>
      <c r="AAC46" s="1437"/>
      <c r="AAD46" s="1438"/>
      <c r="AAE46" s="198"/>
      <c r="AAF46" s="198"/>
      <c r="AAG46" s="198"/>
      <c r="AAH46" s="198"/>
      <c r="AAI46" s="198"/>
      <c r="AAJ46" s="198"/>
      <c r="AAK46" s="827"/>
      <c r="AAL46" s="198"/>
      <c r="AAM46" s="826"/>
      <c r="AAN46" s="1437"/>
      <c r="AAO46" s="1438"/>
      <c r="AAP46" s="198"/>
      <c r="AAQ46" s="198"/>
      <c r="AAR46" s="198"/>
      <c r="AAS46" s="198"/>
      <c r="AAT46" s="198"/>
      <c r="AAU46" s="198"/>
      <c r="AAV46" s="827"/>
      <c r="AAW46" s="198"/>
      <c r="AAX46" s="826"/>
      <c r="AAY46" s="1437"/>
      <c r="AAZ46" s="1438"/>
      <c r="ABA46" s="198"/>
      <c r="ABB46" s="198"/>
      <c r="ABC46" s="198"/>
      <c r="ABD46" s="198"/>
      <c r="ABE46" s="198"/>
      <c r="ABF46" s="198"/>
      <c r="ABG46" s="827"/>
      <c r="ABH46" s="198"/>
      <c r="ABI46" s="826"/>
      <c r="ABJ46" s="1437"/>
      <c r="ABK46" s="1438"/>
      <c r="ABL46" s="198"/>
      <c r="ABM46" s="198"/>
      <c r="ABN46" s="198"/>
      <c r="ABO46" s="198"/>
      <c r="ABP46" s="198"/>
      <c r="ABQ46" s="198"/>
      <c r="ABR46" s="827"/>
      <c r="ABS46" s="198"/>
      <c r="ABT46" s="826"/>
      <c r="ABU46" s="1437"/>
      <c r="ABV46" s="1438"/>
      <c r="ABW46" s="198"/>
      <c r="ABX46" s="198"/>
      <c r="ABY46" s="198"/>
      <c r="ABZ46" s="198"/>
      <c r="ACA46" s="198"/>
      <c r="ACB46" s="198"/>
      <c r="ACC46" s="827"/>
      <c r="ACD46" s="198"/>
      <c r="ACE46" s="826"/>
      <c r="ACF46" s="1437"/>
      <c r="ACG46" s="1438"/>
      <c r="ACH46" s="198"/>
      <c r="ACI46" s="198"/>
      <c r="ACJ46" s="198"/>
      <c r="ACK46" s="198"/>
      <c r="ACL46" s="198"/>
      <c r="ACM46" s="198"/>
      <c r="ACN46" s="827"/>
      <c r="ACO46" s="198"/>
      <c r="ACP46" s="826"/>
      <c r="ACQ46" s="1437"/>
      <c r="ACR46" s="1438"/>
      <c r="ACS46" s="198"/>
      <c r="ACT46" s="198"/>
      <c r="ACU46" s="198"/>
      <c r="ACV46" s="198"/>
      <c r="ACW46" s="198"/>
      <c r="ACX46" s="198"/>
      <c r="ACY46" s="827"/>
      <c r="ACZ46" s="198"/>
      <c r="ADA46" s="826"/>
      <c r="ADB46" s="1437"/>
      <c r="ADC46" s="1438"/>
      <c r="ADD46" s="198"/>
      <c r="ADE46" s="198"/>
      <c r="ADF46" s="198"/>
      <c r="ADG46" s="198"/>
      <c r="ADH46" s="198"/>
      <c r="ADI46" s="198"/>
      <c r="ADJ46" s="827"/>
      <c r="ADK46" s="198"/>
      <c r="ADL46" s="826"/>
      <c r="ADM46" s="1437"/>
      <c r="ADN46" s="1438"/>
      <c r="ADO46" s="198"/>
      <c r="ADP46" s="198"/>
      <c r="ADQ46" s="198"/>
      <c r="ADR46" s="198"/>
      <c r="ADS46" s="198"/>
      <c r="ADT46" s="198"/>
      <c r="ADU46" s="827"/>
      <c r="ADV46" s="198"/>
      <c r="ADW46" s="826"/>
      <c r="ADX46" s="1437"/>
      <c r="ADY46" s="1438"/>
      <c r="ADZ46" s="198"/>
      <c r="AEA46" s="198"/>
      <c r="AEB46" s="198"/>
      <c r="AEC46" s="198"/>
      <c r="AED46" s="198"/>
      <c r="AEE46" s="198"/>
      <c r="AEF46" s="827"/>
      <c r="AEG46" s="198"/>
      <c r="AEH46" s="826"/>
      <c r="AEI46" s="1437"/>
      <c r="AEJ46" s="1438"/>
      <c r="AEK46" s="198"/>
      <c r="AEL46" s="198"/>
      <c r="AEM46" s="198"/>
      <c r="AEN46" s="198"/>
      <c r="AEO46" s="198"/>
      <c r="AEP46" s="198"/>
      <c r="AEQ46" s="827"/>
      <c r="AER46" s="198"/>
      <c r="AES46" s="826"/>
      <c r="AET46" s="1437"/>
      <c r="AEU46" s="1438"/>
      <c r="AEV46" s="198"/>
      <c r="AEW46" s="198"/>
      <c r="AEX46" s="198"/>
      <c r="AEY46" s="198"/>
      <c r="AEZ46" s="198"/>
      <c r="AFA46" s="198"/>
      <c r="AFB46" s="827"/>
      <c r="AFC46" s="198"/>
      <c r="AFD46" s="826"/>
      <c r="AFE46" s="1437"/>
      <c r="AFF46" s="1438"/>
      <c r="AFG46" s="198"/>
      <c r="AFH46" s="198"/>
      <c r="AFI46" s="198"/>
      <c r="AFJ46" s="198"/>
      <c r="AFK46" s="198"/>
      <c r="AFL46" s="198"/>
      <c r="AFM46" s="827"/>
      <c r="AFN46" s="198"/>
      <c r="AFO46" s="826"/>
      <c r="AFP46" s="1437"/>
      <c r="AFQ46" s="1438"/>
      <c r="AFR46" s="198"/>
      <c r="AFS46" s="198"/>
      <c r="AFT46" s="198"/>
      <c r="AFU46" s="198"/>
      <c r="AFV46" s="198"/>
      <c r="AFW46" s="198"/>
      <c r="AFX46" s="827"/>
      <c r="AFY46" s="198"/>
      <c r="AFZ46" s="826"/>
      <c r="AGA46" s="1437"/>
      <c r="AGB46" s="1438"/>
      <c r="AGC46" s="198"/>
      <c r="AGD46" s="198"/>
      <c r="AGE46" s="198"/>
      <c r="AGF46" s="198"/>
      <c r="AGG46" s="198"/>
      <c r="AGH46" s="198"/>
      <c r="AGI46" s="827"/>
      <c r="AGJ46" s="198"/>
      <c r="AGK46" s="826"/>
      <c r="AGL46" s="1437"/>
      <c r="AGM46" s="1438"/>
      <c r="AGN46" s="198"/>
      <c r="AGO46" s="198"/>
      <c r="AGP46" s="198"/>
      <c r="AGQ46" s="198"/>
      <c r="AGR46" s="198"/>
      <c r="AGS46" s="198"/>
      <c r="AGT46" s="827"/>
      <c r="AGU46" s="198"/>
      <c r="AGV46" s="826"/>
      <c r="AGW46" s="1437"/>
      <c r="AGX46" s="1438"/>
      <c r="AGY46" s="198"/>
      <c r="AGZ46" s="198"/>
      <c r="AHA46" s="198"/>
      <c r="AHB46" s="198"/>
      <c r="AHC46" s="198"/>
      <c r="AHD46" s="198"/>
      <c r="AHE46" s="827"/>
      <c r="AHF46" s="198"/>
      <c r="AHG46" s="826"/>
      <c r="AHH46" s="1437"/>
      <c r="AHI46" s="1438"/>
      <c r="AHJ46" s="198"/>
      <c r="AHK46" s="198"/>
      <c r="AHL46" s="198"/>
      <c r="AHM46" s="198"/>
      <c r="AHN46" s="198"/>
      <c r="AHO46" s="198"/>
      <c r="AHP46" s="827"/>
      <c r="AHQ46" s="198"/>
      <c r="AHR46" s="826"/>
      <c r="AHS46" s="1437"/>
      <c r="AHT46" s="1438"/>
      <c r="AHU46" s="198"/>
      <c r="AHV46" s="198"/>
      <c r="AHW46" s="198"/>
      <c r="AHX46" s="198"/>
      <c r="AHY46" s="198"/>
      <c r="AHZ46" s="198"/>
      <c r="AIA46" s="827"/>
      <c r="AIB46" s="198"/>
      <c r="AIC46" s="826"/>
      <c r="AID46" s="1437"/>
      <c r="AIE46" s="1438"/>
      <c r="AIF46" s="198"/>
      <c r="AIG46" s="198"/>
      <c r="AIH46" s="198"/>
      <c r="AII46" s="198"/>
      <c r="AIJ46" s="198"/>
      <c r="AIK46" s="198"/>
      <c r="AIL46" s="827"/>
      <c r="AIM46" s="198"/>
      <c r="AIN46" s="826"/>
      <c r="AIO46" s="1437"/>
      <c r="AIP46" s="1438"/>
      <c r="AIQ46" s="198"/>
      <c r="AIR46" s="198"/>
      <c r="AIS46" s="198"/>
      <c r="AIT46" s="198"/>
      <c r="AIU46" s="198"/>
      <c r="AIV46" s="198"/>
      <c r="AIW46" s="827"/>
      <c r="AIX46" s="198"/>
      <c r="AIY46" s="826"/>
      <c r="AIZ46" s="1437"/>
      <c r="AJA46" s="1438"/>
      <c r="AJB46" s="198"/>
      <c r="AJC46" s="198"/>
      <c r="AJD46" s="198"/>
      <c r="AJE46" s="198"/>
      <c r="AJF46" s="198"/>
      <c r="AJG46" s="198"/>
      <c r="AJH46" s="827"/>
      <c r="AJI46" s="198"/>
      <c r="AJJ46" s="826"/>
      <c r="AJK46" s="1437"/>
      <c r="AJL46" s="1438"/>
      <c r="AJM46" s="198"/>
      <c r="AJN46" s="198"/>
      <c r="AJO46" s="198"/>
      <c r="AJP46" s="198"/>
      <c r="AJQ46" s="198"/>
      <c r="AJR46" s="198"/>
      <c r="AJS46" s="827"/>
      <c r="AJT46" s="198"/>
      <c r="AJU46" s="826"/>
      <c r="AJV46" s="1437"/>
      <c r="AJW46" s="1438"/>
      <c r="AJX46" s="198"/>
      <c r="AJY46" s="198"/>
      <c r="AJZ46" s="198"/>
      <c r="AKA46" s="198"/>
      <c r="AKB46" s="198"/>
      <c r="AKC46" s="198"/>
      <c r="AKD46" s="827"/>
      <c r="AKE46" s="198"/>
      <c r="AKF46" s="826"/>
      <c r="AKG46" s="1437"/>
      <c r="AKH46" s="1438"/>
      <c r="AKI46" s="198"/>
      <c r="AKJ46" s="198"/>
      <c r="AKK46" s="198"/>
      <c r="AKL46" s="198"/>
      <c r="AKM46" s="198"/>
      <c r="AKN46" s="198"/>
      <c r="AKO46" s="827"/>
      <c r="AKP46" s="198"/>
      <c r="AKQ46" s="826"/>
      <c r="AKR46" s="1437"/>
      <c r="AKS46" s="1438"/>
      <c r="AKT46" s="198"/>
      <c r="AKU46" s="198"/>
      <c r="AKV46" s="198"/>
      <c r="AKW46" s="198"/>
      <c r="AKX46" s="198"/>
      <c r="AKY46" s="198"/>
      <c r="AKZ46" s="827"/>
      <c r="ALA46" s="198"/>
      <c r="ALB46" s="826"/>
      <c r="ALC46" s="1437"/>
      <c r="ALD46" s="1438"/>
      <c r="ALE46" s="198"/>
      <c r="ALF46" s="198"/>
      <c r="ALG46" s="198"/>
      <c r="ALH46" s="198"/>
      <c r="ALI46" s="198"/>
      <c r="ALJ46" s="198"/>
      <c r="ALK46" s="827"/>
      <c r="ALL46" s="198"/>
      <c r="ALM46" s="826"/>
      <c r="ALN46" s="1437"/>
      <c r="ALO46" s="1438"/>
      <c r="ALP46" s="198"/>
      <c r="ALQ46" s="198"/>
      <c r="ALR46" s="198"/>
      <c r="ALS46" s="198"/>
      <c r="ALT46" s="198"/>
      <c r="ALU46" s="198"/>
      <c r="ALV46" s="827"/>
      <c r="ALW46" s="198"/>
      <c r="ALX46" s="826"/>
      <c r="ALY46" s="1437"/>
      <c r="ALZ46" s="1438"/>
      <c r="AMA46" s="198"/>
      <c r="AMB46" s="198"/>
      <c r="AMC46" s="198"/>
      <c r="AMD46" s="198"/>
      <c r="AME46" s="198"/>
      <c r="AMF46" s="198"/>
      <c r="AMG46" s="827"/>
      <c r="AMH46" s="198"/>
      <c r="AMI46" s="826"/>
      <c r="AMJ46" s="1437"/>
      <c r="AMK46" s="1438"/>
      <c r="AML46" s="198"/>
      <c r="AMM46" s="198"/>
      <c r="AMN46" s="198"/>
      <c r="AMO46" s="198"/>
      <c r="AMP46" s="198"/>
      <c r="AMQ46" s="198"/>
      <c r="AMR46" s="827"/>
      <c r="AMS46" s="198"/>
      <c r="AMT46" s="826"/>
      <c r="AMU46" s="1437"/>
      <c r="AMV46" s="1438"/>
      <c r="AMW46" s="198"/>
      <c r="AMX46" s="198"/>
      <c r="AMY46" s="198"/>
      <c r="AMZ46" s="198"/>
      <c r="ANA46" s="198"/>
      <c r="ANB46" s="198"/>
      <c r="ANC46" s="827"/>
      <c r="AND46" s="198"/>
      <c r="ANE46" s="826"/>
      <c r="ANF46" s="1437"/>
      <c r="ANG46" s="1438"/>
      <c r="ANH46" s="198"/>
      <c r="ANI46" s="198"/>
      <c r="ANJ46" s="198"/>
      <c r="ANK46" s="198"/>
      <c r="ANL46" s="198"/>
      <c r="ANM46" s="198"/>
      <c r="ANN46" s="827"/>
      <c r="ANO46" s="198"/>
      <c r="ANP46" s="826"/>
      <c r="ANQ46" s="1437"/>
      <c r="ANR46" s="1438"/>
      <c r="ANS46" s="198"/>
      <c r="ANT46" s="198"/>
      <c r="ANU46" s="198"/>
      <c r="ANV46" s="198"/>
      <c r="ANW46" s="198"/>
      <c r="ANX46" s="198"/>
      <c r="ANY46" s="827"/>
      <c r="ANZ46" s="198"/>
      <c r="AOA46" s="826"/>
      <c r="AOB46" s="1437"/>
      <c r="AOC46" s="1438"/>
      <c r="AOD46" s="198"/>
      <c r="AOE46" s="198"/>
      <c r="AOF46" s="198"/>
      <c r="AOG46" s="198"/>
      <c r="AOH46" s="198"/>
      <c r="AOI46" s="198"/>
      <c r="AOJ46" s="827"/>
      <c r="AOK46" s="198"/>
      <c r="AOL46" s="826"/>
      <c r="AOM46" s="1437"/>
      <c r="AON46" s="1438"/>
      <c r="AOO46" s="198"/>
      <c r="AOP46" s="198"/>
      <c r="AOQ46" s="198"/>
      <c r="AOR46" s="198"/>
      <c r="AOS46" s="198"/>
      <c r="AOT46" s="198"/>
      <c r="AOU46" s="827"/>
      <c r="AOV46" s="198"/>
      <c r="AOW46" s="826"/>
      <c r="AOX46" s="1437"/>
      <c r="AOY46" s="1438"/>
      <c r="AOZ46" s="198"/>
      <c r="APA46" s="198"/>
      <c r="APB46" s="198"/>
      <c r="APC46" s="198"/>
      <c r="APD46" s="198"/>
      <c r="APE46" s="198"/>
      <c r="APF46" s="827"/>
      <c r="APG46" s="198"/>
      <c r="APH46" s="826"/>
      <c r="API46" s="1437"/>
      <c r="APJ46" s="1438"/>
      <c r="APK46" s="198"/>
      <c r="APL46" s="198"/>
      <c r="APM46" s="198"/>
      <c r="APN46" s="198"/>
      <c r="APO46" s="198"/>
      <c r="APP46" s="198"/>
      <c r="APQ46" s="827"/>
      <c r="APR46" s="198"/>
      <c r="APS46" s="826"/>
      <c r="APT46" s="1437"/>
      <c r="APU46" s="1438"/>
      <c r="APV46" s="198"/>
      <c r="APW46" s="198"/>
      <c r="APX46" s="198"/>
      <c r="APY46" s="198"/>
      <c r="APZ46" s="198"/>
      <c r="AQA46" s="198"/>
      <c r="AQB46" s="827"/>
      <c r="AQC46" s="198"/>
      <c r="AQD46" s="826"/>
      <c r="AQE46" s="1437"/>
      <c r="AQF46" s="1438"/>
      <c r="AQG46" s="198"/>
      <c r="AQH46" s="198"/>
      <c r="AQI46" s="198"/>
      <c r="AQJ46" s="198"/>
      <c r="AQK46" s="198"/>
      <c r="AQL46" s="198"/>
      <c r="AQM46" s="827"/>
      <c r="AQN46" s="198"/>
      <c r="AQO46" s="826"/>
      <c r="AQP46" s="1437"/>
      <c r="AQQ46" s="1438"/>
      <c r="AQR46" s="198"/>
      <c r="AQS46" s="198"/>
      <c r="AQT46" s="198"/>
      <c r="AQU46" s="198"/>
      <c r="AQV46" s="198"/>
      <c r="AQW46" s="198"/>
      <c r="AQX46" s="827"/>
      <c r="AQY46" s="198"/>
      <c r="AQZ46" s="826"/>
      <c r="ARA46" s="1437"/>
      <c r="ARB46" s="1438"/>
      <c r="ARC46" s="198"/>
      <c r="ARD46" s="198"/>
      <c r="ARE46" s="198"/>
      <c r="ARF46" s="198"/>
      <c r="ARG46" s="198"/>
      <c r="ARH46" s="198"/>
      <c r="ARI46" s="827"/>
      <c r="ARJ46" s="198"/>
      <c r="ARK46" s="826"/>
      <c r="ARL46" s="1437"/>
      <c r="ARM46" s="1438"/>
      <c r="ARN46" s="198"/>
      <c r="ARO46" s="198"/>
      <c r="ARP46" s="198"/>
      <c r="ARQ46" s="198"/>
      <c r="ARR46" s="198"/>
      <c r="ARS46" s="198"/>
      <c r="ART46" s="827"/>
      <c r="ARU46" s="198"/>
      <c r="ARV46" s="826"/>
      <c r="ARW46" s="1437"/>
      <c r="ARX46" s="1438"/>
      <c r="ARY46" s="198"/>
      <c r="ARZ46" s="198"/>
      <c r="ASA46" s="198"/>
      <c r="ASB46" s="198"/>
      <c r="ASC46" s="198"/>
      <c r="ASD46" s="198"/>
      <c r="ASE46" s="827"/>
      <c r="ASF46" s="198"/>
      <c r="ASG46" s="826"/>
      <c r="ASH46" s="1437"/>
      <c r="ASI46" s="1438"/>
      <c r="ASJ46" s="198"/>
      <c r="ASK46" s="198"/>
      <c r="ASL46" s="198"/>
      <c r="ASM46" s="198"/>
      <c r="ASN46" s="198"/>
      <c r="ASO46" s="198"/>
      <c r="ASP46" s="827"/>
      <c r="ASQ46" s="198"/>
      <c r="ASR46" s="826"/>
      <c r="ASS46" s="1437"/>
      <c r="AST46" s="1438"/>
      <c r="ASU46" s="198"/>
      <c r="ASV46" s="198"/>
      <c r="ASW46" s="198"/>
      <c r="ASX46" s="198"/>
      <c r="ASY46" s="198"/>
      <c r="ASZ46" s="198"/>
      <c r="ATA46" s="827"/>
      <c r="ATB46" s="198"/>
      <c r="ATC46" s="826"/>
      <c r="ATD46" s="1437"/>
      <c r="ATE46" s="1438"/>
      <c r="ATF46" s="198"/>
      <c r="ATG46" s="198"/>
      <c r="ATH46" s="198"/>
      <c r="ATI46" s="198"/>
      <c r="ATJ46" s="198"/>
      <c r="ATK46" s="198"/>
      <c r="ATL46" s="827"/>
      <c r="ATM46" s="198"/>
      <c r="ATN46" s="826"/>
      <c r="ATO46" s="1437"/>
      <c r="ATP46" s="1438"/>
      <c r="ATQ46" s="198"/>
      <c r="ATR46" s="198"/>
      <c r="ATS46" s="198"/>
      <c r="ATT46" s="198"/>
      <c r="ATU46" s="198"/>
      <c r="ATV46" s="198"/>
      <c r="ATW46" s="827"/>
      <c r="ATX46" s="198"/>
      <c r="ATY46" s="826"/>
      <c r="ATZ46" s="1437"/>
      <c r="AUA46" s="1438"/>
      <c r="AUB46" s="198"/>
      <c r="AUC46" s="198"/>
      <c r="AUD46" s="198"/>
      <c r="AUE46" s="198"/>
      <c r="AUF46" s="198"/>
      <c r="AUG46" s="198"/>
      <c r="AUH46" s="827"/>
      <c r="AUI46" s="198"/>
      <c r="AUJ46" s="826"/>
      <c r="AUK46" s="1437"/>
      <c r="AUL46" s="1438"/>
      <c r="AUM46" s="198"/>
      <c r="AUN46" s="198"/>
      <c r="AUO46" s="198"/>
      <c r="AUP46" s="198"/>
      <c r="AUQ46" s="198"/>
      <c r="AUR46" s="198"/>
      <c r="AUS46" s="827"/>
      <c r="AUT46" s="198"/>
      <c r="AUU46" s="826"/>
      <c r="AUV46" s="1437"/>
      <c r="AUW46" s="1438"/>
      <c r="AUX46" s="198"/>
      <c r="AUY46" s="198"/>
      <c r="AUZ46" s="198"/>
      <c r="AVA46" s="198"/>
      <c r="AVB46" s="198"/>
      <c r="AVC46" s="198"/>
      <c r="AVD46" s="827"/>
      <c r="AVE46" s="198"/>
      <c r="AVF46" s="826"/>
      <c r="AVG46" s="1437"/>
      <c r="AVH46" s="1438"/>
      <c r="AVI46" s="198"/>
      <c r="AVJ46" s="198"/>
      <c r="AVK46" s="198"/>
      <c r="AVL46" s="198"/>
      <c r="AVM46" s="198"/>
      <c r="AVN46" s="198"/>
      <c r="AVO46" s="827"/>
      <c r="AVP46" s="198"/>
      <c r="AVQ46" s="826"/>
      <c r="AVR46" s="1437"/>
      <c r="AVS46" s="1438"/>
      <c r="AVT46" s="198"/>
      <c r="AVU46" s="198"/>
      <c r="AVV46" s="198"/>
      <c r="AVW46" s="198"/>
      <c r="AVX46" s="198"/>
      <c r="AVY46" s="198"/>
      <c r="AVZ46" s="827"/>
      <c r="AWA46" s="198"/>
      <c r="AWB46" s="826"/>
      <c r="AWC46" s="1437"/>
      <c r="AWD46" s="1438"/>
      <c r="AWE46" s="198"/>
      <c r="AWF46" s="198"/>
      <c r="AWG46" s="198"/>
      <c r="AWH46" s="198"/>
      <c r="AWI46" s="198"/>
      <c r="AWJ46" s="198"/>
      <c r="AWK46" s="827"/>
      <c r="AWL46" s="198"/>
      <c r="AWM46" s="826"/>
      <c r="AWN46" s="1437"/>
      <c r="AWO46" s="1438"/>
      <c r="AWP46" s="198"/>
      <c r="AWQ46" s="198"/>
      <c r="AWR46" s="198"/>
      <c r="AWS46" s="198"/>
      <c r="AWT46" s="198"/>
      <c r="AWU46" s="198"/>
      <c r="AWV46" s="827"/>
      <c r="AWW46" s="198"/>
      <c r="AWX46" s="826"/>
      <c r="AWY46" s="1437"/>
      <c r="AWZ46" s="1438"/>
      <c r="AXA46" s="198"/>
      <c r="AXB46" s="198"/>
      <c r="AXC46" s="198"/>
      <c r="AXD46" s="198"/>
      <c r="AXE46" s="198"/>
      <c r="AXF46" s="198"/>
      <c r="AXG46" s="827"/>
      <c r="AXH46" s="198"/>
      <c r="AXI46" s="826"/>
      <c r="AXJ46" s="1437"/>
      <c r="AXK46" s="1438"/>
      <c r="AXL46" s="198"/>
      <c r="AXM46" s="198"/>
      <c r="AXN46" s="198"/>
      <c r="AXO46" s="198"/>
      <c r="AXP46" s="198"/>
      <c r="AXQ46" s="198"/>
      <c r="AXR46" s="827"/>
      <c r="AXS46" s="198"/>
      <c r="AXT46" s="826"/>
      <c r="AXU46" s="1437"/>
      <c r="AXV46" s="1438"/>
      <c r="AXW46" s="198"/>
      <c r="AXX46" s="198"/>
      <c r="AXY46" s="198"/>
      <c r="AXZ46" s="198"/>
      <c r="AYA46" s="198"/>
      <c r="AYB46" s="198"/>
      <c r="AYC46" s="827"/>
      <c r="AYD46" s="198"/>
      <c r="AYE46" s="826"/>
      <c r="AYF46" s="1437"/>
      <c r="AYG46" s="1438"/>
      <c r="AYH46" s="198"/>
      <c r="AYI46" s="198"/>
      <c r="AYJ46" s="198"/>
      <c r="AYK46" s="198"/>
      <c r="AYL46" s="198"/>
      <c r="AYM46" s="198"/>
      <c r="AYN46" s="827"/>
      <c r="AYO46" s="198"/>
      <c r="AYP46" s="826"/>
      <c r="AYQ46" s="1437"/>
      <c r="AYR46" s="1438"/>
      <c r="AYS46" s="198"/>
      <c r="AYT46" s="198"/>
      <c r="AYU46" s="198"/>
      <c r="AYV46" s="198"/>
      <c r="AYW46" s="198"/>
      <c r="AYX46" s="198"/>
      <c r="AYY46" s="827"/>
      <c r="AYZ46" s="198"/>
      <c r="AZA46" s="826"/>
      <c r="AZB46" s="1437"/>
      <c r="AZC46" s="1438"/>
      <c r="AZD46" s="198"/>
      <c r="AZE46" s="198"/>
      <c r="AZF46" s="198"/>
      <c r="AZG46" s="198"/>
      <c r="AZH46" s="198"/>
      <c r="AZI46" s="198"/>
      <c r="AZJ46" s="827"/>
      <c r="AZK46" s="198"/>
      <c r="AZL46" s="826"/>
      <c r="AZM46" s="1437"/>
      <c r="AZN46" s="1438"/>
      <c r="AZO46" s="198"/>
      <c r="AZP46" s="198"/>
      <c r="AZQ46" s="198"/>
      <c r="AZR46" s="198"/>
      <c r="AZS46" s="198"/>
      <c r="AZT46" s="198"/>
      <c r="AZU46" s="827"/>
      <c r="AZV46" s="198"/>
      <c r="AZW46" s="826"/>
      <c r="AZX46" s="1437"/>
      <c r="AZY46" s="1438"/>
      <c r="AZZ46" s="198"/>
      <c r="BAA46" s="198"/>
      <c r="BAB46" s="198"/>
      <c r="BAC46" s="198"/>
      <c r="BAD46" s="198"/>
      <c r="BAE46" s="198"/>
      <c r="BAF46" s="827"/>
      <c r="BAG46" s="198"/>
      <c r="BAH46" s="826"/>
      <c r="BAI46" s="1437"/>
      <c r="BAJ46" s="1438"/>
      <c r="BAK46" s="198"/>
      <c r="BAL46" s="198"/>
      <c r="BAM46" s="198"/>
      <c r="BAN46" s="198"/>
      <c r="BAO46" s="198"/>
      <c r="BAP46" s="198"/>
      <c r="BAQ46" s="827"/>
      <c r="BAR46" s="198"/>
      <c r="BAS46" s="826"/>
      <c r="BAT46" s="1437"/>
      <c r="BAU46" s="1438"/>
      <c r="BAV46" s="198"/>
      <c r="BAW46" s="198"/>
      <c r="BAX46" s="198"/>
      <c r="BAY46" s="198"/>
      <c r="BAZ46" s="198"/>
      <c r="BBA46" s="198"/>
      <c r="BBB46" s="827"/>
      <c r="BBC46" s="198"/>
      <c r="BBD46" s="826"/>
      <c r="BBE46" s="1437"/>
      <c r="BBF46" s="1438"/>
      <c r="BBG46" s="198"/>
      <c r="BBH46" s="198"/>
      <c r="BBI46" s="198"/>
      <c r="BBJ46" s="198"/>
      <c r="BBK46" s="198"/>
      <c r="BBL46" s="198"/>
      <c r="BBM46" s="827"/>
      <c r="BBN46" s="198"/>
      <c r="BBO46" s="826"/>
      <c r="BBP46" s="1437"/>
      <c r="BBQ46" s="1438"/>
      <c r="BBR46" s="198"/>
      <c r="BBS46" s="198"/>
      <c r="BBT46" s="198"/>
      <c r="BBU46" s="198"/>
      <c r="BBV46" s="198"/>
      <c r="BBW46" s="198"/>
      <c r="BBX46" s="827"/>
      <c r="BBY46" s="198"/>
      <c r="BBZ46" s="826"/>
      <c r="BCA46" s="1437"/>
      <c r="BCB46" s="1438"/>
      <c r="BCC46" s="198"/>
      <c r="BCD46" s="198"/>
      <c r="BCE46" s="198"/>
      <c r="BCF46" s="198"/>
      <c r="BCG46" s="198"/>
      <c r="BCH46" s="198"/>
      <c r="BCI46" s="827"/>
      <c r="BCJ46" s="198"/>
      <c r="BCK46" s="826"/>
      <c r="BCL46" s="1437"/>
      <c r="BCM46" s="1438"/>
      <c r="BCN46" s="198"/>
      <c r="BCO46" s="198"/>
      <c r="BCP46" s="198"/>
      <c r="BCQ46" s="198"/>
      <c r="BCR46" s="198"/>
      <c r="BCS46" s="198"/>
      <c r="BCT46" s="827"/>
      <c r="BCU46" s="198"/>
      <c r="BCV46" s="826"/>
      <c r="BCW46" s="1437"/>
      <c r="BCX46" s="1438"/>
      <c r="BCY46" s="198"/>
      <c r="BCZ46" s="198"/>
      <c r="BDA46" s="198"/>
      <c r="BDB46" s="198"/>
      <c r="BDC46" s="198"/>
      <c r="BDD46" s="198"/>
      <c r="BDE46" s="827"/>
      <c r="BDF46" s="198"/>
      <c r="BDG46" s="826"/>
      <c r="BDH46" s="1437"/>
      <c r="BDI46" s="1438"/>
      <c r="BDJ46" s="198"/>
      <c r="BDK46" s="198"/>
      <c r="BDL46" s="198"/>
      <c r="BDM46" s="198"/>
      <c r="BDN46" s="198"/>
      <c r="BDO46" s="198"/>
      <c r="BDP46" s="827"/>
      <c r="BDQ46" s="198"/>
      <c r="BDR46" s="826"/>
      <c r="BDS46" s="1437"/>
      <c r="BDT46" s="1438"/>
      <c r="BDU46" s="198"/>
      <c r="BDV46" s="198"/>
      <c r="BDW46" s="198"/>
      <c r="BDX46" s="198"/>
      <c r="BDY46" s="198"/>
      <c r="BDZ46" s="198"/>
      <c r="BEA46" s="827"/>
      <c r="BEB46" s="198"/>
      <c r="BEC46" s="826"/>
      <c r="BED46" s="1437"/>
      <c r="BEE46" s="1438"/>
      <c r="BEF46" s="198"/>
      <c r="BEG46" s="198"/>
      <c r="BEH46" s="198"/>
      <c r="BEI46" s="198"/>
      <c r="BEJ46" s="198"/>
      <c r="BEK46" s="198"/>
      <c r="BEL46" s="827"/>
      <c r="BEM46" s="198"/>
      <c r="BEN46" s="826"/>
      <c r="BEO46" s="1437"/>
      <c r="BEP46" s="1438"/>
      <c r="BEQ46" s="198"/>
      <c r="BER46" s="198"/>
      <c r="BES46" s="198"/>
      <c r="BET46" s="198"/>
      <c r="BEU46" s="198"/>
      <c r="BEV46" s="198"/>
      <c r="BEW46" s="827"/>
      <c r="BEX46" s="198"/>
      <c r="BEY46" s="826"/>
      <c r="BEZ46" s="1437"/>
      <c r="BFA46" s="1438"/>
      <c r="BFB46" s="198"/>
      <c r="BFC46" s="198"/>
      <c r="BFD46" s="198"/>
      <c r="BFE46" s="198"/>
      <c r="BFF46" s="198"/>
      <c r="BFG46" s="198"/>
      <c r="BFH46" s="827"/>
      <c r="BFI46" s="198"/>
      <c r="BFJ46" s="826"/>
      <c r="BFK46" s="1437"/>
      <c r="BFL46" s="1438"/>
      <c r="BFM46" s="198"/>
      <c r="BFN46" s="198"/>
      <c r="BFO46" s="198"/>
      <c r="BFP46" s="198"/>
      <c r="BFQ46" s="198"/>
      <c r="BFR46" s="198"/>
      <c r="BFS46" s="827"/>
      <c r="BFT46" s="198"/>
      <c r="BFU46" s="826"/>
      <c r="BFV46" s="1437"/>
      <c r="BFW46" s="1438"/>
      <c r="BFX46" s="198"/>
      <c r="BFY46" s="198"/>
      <c r="BFZ46" s="198"/>
      <c r="BGA46" s="198"/>
      <c r="BGB46" s="198"/>
      <c r="BGC46" s="198"/>
      <c r="BGD46" s="827"/>
      <c r="BGE46" s="198"/>
      <c r="BGF46" s="826"/>
      <c r="BGG46" s="1437"/>
      <c r="BGH46" s="1438"/>
      <c r="BGI46" s="198"/>
      <c r="BGJ46" s="198"/>
      <c r="BGK46" s="198"/>
      <c r="BGL46" s="198"/>
      <c r="BGM46" s="198"/>
      <c r="BGN46" s="198"/>
      <c r="BGO46" s="827"/>
      <c r="BGP46" s="198"/>
      <c r="BGQ46" s="826"/>
      <c r="BGR46" s="1437"/>
      <c r="BGS46" s="1438"/>
      <c r="BGT46" s="198"/>
      <c r="BGU46" s="198"/>
      <c r="BGV46" s="198"/>
      <c r="BGW46" s="198"/>
      <c r="BGX46" s="198"/>
      <c r="BGY46" s="198"/>
      <c r="BGZ46" s="827"/>
      <c r="BHA46" s="198"/>
      <c r="BHB46" s="826"/>
      <c r="BHC46" s="1437"/>
      <c r="BHD46" s="1438"/>
      <c r="BHE46" s="198"/>
      <c r="BHF46" s="198"/>
      <c r="BHG46" s="198"/>
      <c r="BHH46" s="198"/>
      <c r="BHI46" s="198"/>
      <c r="BHJ46" s="198"/>
      <c r="BHK46" s="827"/>
      <c r="BHL46" s="198"/>
      <c r="BHM46" s="826"/>
      <c r="BHN46" s="1437"/>
      <c r="BHO46" s="1438"/>
      <c r="BHP46" s="198"/>
      <c r="BHQ46" s="198"/>
      <c r="BHR46" s="198"/>
      <c r="BHS46" s="198"/>
      <c r="BHT46" s="198"/>
      <c r="BHU46" s="198"/>
      <c r="BHV46" s="827"/>
      <c r="BHW46" s="198"/>
      <c r="BHX46" s="826"/>
      <c r="BHY46" s="1437"/>
      <c r="BHZ46" s="1438"/>
      <c r="BIA46" s="198"/>
      <c r="BIB46" s="198"/>
      <c r="BIC46" s="198"/>
      <c r="BID46" s="198"/>
      <c r="BIE46" s="198"/>
      <c r="BIF46" s="198"/>
      <c r="BIG46" s="827"/>
      <c r="BIH46" s="198"/>
      <c r="BII46" s="826"/>
      <c r="BIJ46" s="1437"/>
      <c r="BIK46" s="1438"/>
      <c r="BIL46" s="198"/>
      <c r="BIM46" s="198"/>
      <c r="BIN46" s="198"/>
      <c r="BIO46" s="198"/>
      <c r="BIP46" s="198"/>
      <c r="BIQ46" s="198"/>
      <c r="BIR46" s="827"/>
      <c r="BIS46" s="198"/>
      <c r="BIT46" s="826"/>
      <c r="BIU46" s="1437"/>
      <c r="BIV46" s="1438"/>
      <c r="BIW46" s="198"/>
      <c r="BIX46" s="198"/>
      <c r="BIY46" s="198"/>
      <c r="BIZ46" s="198"/>
      <c r="BJA46" s="198"/>
      <c r="BJB46" s="198"/>
      <c r="BJC46" s="827"/>
      <c r="BJD46" s="198"/>
      <c r="BJE46" s="826"/>
      <c r="BJF46" s="1437"/>
      <c r="BJG46" s="1438"/>
      <c r="BJH46" s="198"/>
      <c r="BJI46" s="198"/>
      <c r="BJJ46" s="198"/>
      <c r="BJK46" s="198"/>
      <c r="BJL46" s="198"/>
      <c r="BJM46" s="198"/>
      <c r="BJN46" s="827"/>
      <c r="BJO46" s="198"/>
      <c r="BJP46" s="826"/>
      <c r="BJQ46" s="1437"/>
      <c r="BJR46" s="1438"/>
      <c r="BJS46" s="198"/>
      <c r="BJT46" s="198"/>
      <c r="BJU46" s="198"/>
      <c r="BJV46" s="198"/>
      <c r="BJW46" s="198"/>
      <c r="BJX46" s="198"/>
      <c r="BJY46" s="827"/>
      <c r="BJZ46" s="198"/>
      <c r="BKA46" s="826"/>
      <c r="BKB46" s="1437"/>
      <c r="BKC46" s="1438"/>
      <c r="BKD46" s="198"/>
      <c r="BKE46" s="198"/>
      <c r="BKF46" s="198"/>
      <c r="BKG46" s="198"/>
      <c r="BKH46" s="198"/>
      <c r="BKI46" s="198"/>
      <c r="BKJ46" s="827"/>
      <c r="BKK46" s="198"/>
      <c r="BKL46" s="826"/>
      <c r="BKM46" s="1437"/>
      <c r="BKN46" s="1438"/>
      <c r="BKO46" s="198"/>
      <c r="BKP46" s="198"/>
      <c r="BKQ46" s="198"/>
      <c r="BKR46" s="198"/>
      <c r="BKS46" s="198"/>
      <c r="BKT46" s="198"/>
      <c r="BKU46" s="827"/>
      <c r="BKV46" s="198"/>
      <c r="BKW46" s="826"/>
      <c r="BKX46" s="1437"/>
      <c r="BKY46" s="1438"/>
      <c r="BKZ46" s="198"/>
      <c r="BLA46" s="198"/>
      <c r="BLB46" s="198"/>
      <c r="BLC46" s="198"/>
      <c r="BLD46" s="198"/>
      <c r="BLE46" s="198"/>
      <c r="BLF46" s="827"/>
      <c r="BLG46" s="198"/>
      <c r="BLH46" s="826"/>
      <c r="BLI46" s="1437"/>
      <c r="BLJ46" s="1438"/>
      <c r="BLK46" s="198"/>
      <c r="BLL46" s="198"/>
      <c r="BLM46" s="198"/>
      <c r="BLN46" s="198"/>
      <c r="BLO46" s="198"/>
      <c r="BLP46" s="198"/>
      <c r="BLQ46" s="827"/>
      <c r="BLR46" s="198"/>
      <c r="BLS46" s="826"/>
      <c r="BLT46" s="1437"/>
      <c r="BLU46" s="1438"/>
      <c r="BLV46" s="198"/>
      <c r="BLW46" s="198"/>
      <c r="BLX46" s="198"/>
      <c r="BLY46" s="198"/>
      <c r="BLZ46" s="198"/>
      <c r="BMA46" s="198"/>
      <c r="BMB46" s="827"/>
      <c r="BMC46" s="198"/>
      <c r="BMD46" s="826"/>
      <c r="BME46" s="1437"/>
      <c r="BMF46" s="1438"/>
      <c r="BMG46" s="198"/>
      <c r="BMH46" s="198"/>
      <c r="BMI46" s="198"/>
      <c r="BMJ46" s="198"/>
      <c r="BMK46" s="198"/>
      <c r="BML46" s="198"/>
      <c r="BMM46" s="827"/>
      <c r="BMN46" s="198"/>
      <c r="BMO46" s="826"/>
      <c r="BMP46" s="1437"/>
      <c r="BMQ46" s="1438"/>
      <c r="BMR46" s="198"/>
      <c r="BMS46" s="198"/>
      <c r="BMT46" s="198"/>
      <c r="BMU46" s="198"/>
      <c r="BMV46" s="198"/>
      <c r="BMW46" s="198"/>
      <c r="BMX46" s="827"/>
      <c r="BMY46" s="198"/>
      <c r="BMZ46" s="826"/>
      <c r="BNA46" s="1437"/>
      <c r="BNB46" s="1438"/>
      <c r="BNC46" s="198"/>
      <c r="BND46" s="198"/>
      <c r="BNE46" s="198"/>
      <c r="BNF46" s="198"/>
      <c r="BNG46" s="198"/>
      <c r="BNH46" s="198"/>
      <c r="BNI46" s="827"/>
      <c r="BNJ46" s="198"/>
      <c r="BNK46" s="826"/>
      <c r="BNL46" s="1437"/>
      <c r="BNM46" s="1438"/>
      <c r="BNN46" s="198"/>
      <c r="BNO46" s="198"/>
      <c r="BNP46" s="198"/>
      <c r="BNQ46" s="198"/>
      <c r="BNR46" s="198"/>
      <c r="BNS46" s="198"/>
      <c r="BNT46" s="827"/>
      <c r="BNU46" s="198"/>
      <c r="BNV46" s="826"/>
      <c r="BNW46" s="1437"/>
      <c r="BNX46" s="1438"/>
      <c r="BNY46" s="198"/>
      <c r="BNZ46" s="198"/>
      <c r="BOA46" s="198"/>
      <c r="BOB46" s="198"/>
      <c r="BOC46" s="198"/>
      <c r="BOD46" s="198"/>
      <c r="BOE46" s="827"/>
      <c r="BOF46" s="198"/>
      <c r="BOG46" s="826"/>
      <c r="BOH46" s="1437"/>
      <c r="BOI46" s="1438"/>
      <c r="BOJ46" s="198"/>
      <c r="BOK46" s="198"/>
      <c r="BOL46" s="198"/>
      <c r="BOM46" s="198"/>
      <c r="BON46" s="198"/>
      <c r="BOO46" s="198"/>
      <c r="BOP46" s="827"/>
      <c r="BOQ46" s="198"/>
      <c r="BOR46" s="826"/>
      <c r="BOS46" s="1437"/>
      <c r="BOT46" s="1438"/>
      <c r="BOU46" s="198"/>
      <c r="BOV46" s="198"/>
      <c r="BOW46" s="198"/>
      <c r="BOX46" s="198"/>
      <c r="BOY46" s="198"/>
      <c r="BOZ46" s="198"/>
      <c r="BPA46" s="827"/>
      <c r="BPB46" s="198"/>
      <c r="BPC46" s="826"/>
      <c r="BPD46" s="1437"/>
      <c r="BPE46" s="1438"/>
      <c r="BPF46" s="198"/>
      <c r="BPG46" s="198"/>
      <c r="BPH46" s="198"/>
      <c r="BPI46" s="198"/>
      <c r="BPJ46" s="198"/>
      <c r="BPK46" s="198"/>
      <c r="BPL46" s="827"/>
      <c r="BPM46" s="198"/>
      <c r="BPN46" s="826"/>
      <c r="BPO46" s="1437"/>
      <c r="BPP46" s="1438"/>
      <c r="BPQ46" s="198"/>
      <c r="BPR46" s="198"/>
      <c r="BPS46" s="198"/>
      <c r="BPT46" s="198"/>
      <c r="BPU46" s="198"/>
      <c r="BPV46" s="198"/>
      <c r="BPW46" s="827"/>
      <c r="BPX46" s="198"/>
      <c r="BPY46" s="826"/>
      <c r="BPZ46" s="1437"/>
      <c r="BQA46" s="1438"/>
      <c r="BQB46" s="198"/>
      <c r="BQC46" s="198"/>
      <c r="BQD46" s="198"/>
      <c r="BQE46" s="198"/>
      <c r="BQF46" s="198"/>
      <c r="BQG46" s="198"/>
      <c r="BQH46" s="827"/>
      <c r="BQI46" s="198"/>
      <c r="BQJ46" s="826"/>
      <c r="BQK46" s="1437"/>
      <c r="BQL46" s="1438"/>
      <c r="BQM46" s="198"/>
      <c r="BQN46" s="198"/>
      <c r="BQO46" s="198"/>
      <c r="BQP46" s="198"/>
      <c r="BQQ46" s="198"/>
      <c r="BQR46" s="198"/>
      <c r="BQS46" s="827"/>
      <c r="BQT46" s="198"/>
      <c r="BQU46" s="826"/>
      <c r="BQV46" s="1437"/>
      <c r="BQW46" s="1438"/>
      <c r="BQX46" s="198"/>
      <c r="BQY46" s="198"/>
      <c r="BQZ46" s="198"/>
      <c r="BRA46" s="198"/>
      <c r="BRB46" s="198"/>
      <c r="BRC46" s="198"/>
      <c r="BRD46" s="827"/>
      <c r="BRE46" s="198"/>
      <c r="BRF46" s="826"/>
      <c r="BRG46" s="1437"/>
      <c r="BRH46" s="1438"/>
      <c r="BRI46" s="198"/>
      <c r="BRJ46" s="198"/>
      <c r="BRK46" s="198"/>
      <c r="BRL46" s="198"/>
      <c r="BRM46" s="198"/>
      <c r="BRN46" s="198"/>
      <c r="BRO46" s="827"/>
      <c r="BRP46" s="198"/>
      <c r="BRQ46" s="826"/>
      <c r="BRR46" s="1437"/>
      <c r="BRS46" s="1438"/>
      <c r="BRT46" s="198"/>
      <c r="BRU46" s="198"/>
      <c r="BRV46" s="198"/>
      <c r="BRW46" s="198"/>
      <c r="BRX46" s="198"/>
      <c r="BRY46" s="198"/>
      <c r="BRZ46" s="827"/>
      <c r="BSA46" s="198"/>
      <c r="BSB46" s="826"/>
      <c r="BSC46" s="1437"/>
      <c r="BSD46" s="1438"/>
      <c r="BSE46" s="198"/>
      <c r="BSF46" s="198"/>
      <c r="BSG46" s="198"/>
      <c r="BSH46" s="198"/>
      <c r="BSI46" s="198"/>
      <c r="BSJ46" s="198"/>
      <c r="BSK46" s="827"/>
      <c r="BSL46" s="198"/>
      <c r="BSM46" s="826"/>
      <c r="BSN46" s="1437"/>
      <c r="BSO46" s="1438"/>
      <c r="BSP46" s="198"/>
      <c r="BSQ46" s="198"/>
      <c r="BSR46" s="198"/>
      <c r="BSS46" s="198"/>
      <c r="BST46" s="198"/>
      <c r="BSU46" s="198"/>
      <c r="BSV46" s="827"/>
      <c r="BSW46" s="198"/>
      <c r="BSX46" s="826"/>
      <c r="BSY46" s="1437"/>
      <c r="BSZ46" s="1438"/>
      <c r="BTA46" s="198"/>
      <c r="BTB46" s="198"/>
      <c r="BTC46" s="198"/>
      <c r="BTD46" s="198"/>
      <c r="BTE46" s="198"/>
      <c r="BTF46" s="198"/>
      <c r="BTG46" s="827"/>
      <c r="BTH46" s="198"/>
      <c r="BTI46" s="826"/>
      <c r="BTJ46" s="1437"/>
      <c r="BTK46" s="1438"/>
      <c r="BTL46" s="198"/>
      <c r="BTM46" s="198"/>
      <c r="BTN46" s="198"/>
      <c r="BTO46" s="198"/>
      <c r="BTP46" s="198"/>
      <c r="BTQ46" s="198"/>
      <c r="BTR46" s="827"/>
      <c r="BTS46" s="198"/>
      <c r="BTT46" s="826"/>
      <c r="BTU46" s="1437"/>
      <c r="BTV46" s="1438"/>
      <c r="BTW46" s="198"/>
      <c r="BTX46" s="198"/>
      <c r="BTY46" s="198"/>
      <c r="BTZ46" s="198"/>
      <c r="BUA46" s="198"/>
      <c r="BUB46" s="198"/>
      <c r="BUC46" s="827"/>
      <c r="BUD46" s="198"/>
      <c r="BUE46" s="826"/>
      <c r="BUF46" s="1437"/>
      <c r="BUG46" s="1438"/>
      <c r="BUH46" s="198"/>
      <c r="BUI46" s="198"/>
      <c r="BUJ46" s="198"/>
      <c r="BUK46" s="198"/>
      <c r="BUL46" s="198"/>
      <c r="BUM46" s="198"/>
      <c r="BUN46" s="827"/>
      <c r="BUO46" s="198"/>
      <c r="BUP46" s="826"/>
      <c r="BUQ46" s="1437"/>
      <c r="BUR46" s="1438"/>
      <c r="BUS46" s="198"/>
      <c r="BUT46" s="198"/>
      <c r="BUU46" s="198"/>
      <c r="BUV46" s="198"/>
      <c r="BUW46" s="198"/>
      <c r="BUX46" s="198"/>
      <c r="BUY46" s="827"/>
      <c r="BUZ46" s="198"/>
      <c r="BVA46" s="826"/>
      <c r="BVB46" s="1437"/>
      <c r="BVC46" s="1438"/>
      <c r="BVD46" s="198"/>
      <c r="BVE46" s="198"/>
      <c r="BVF46" s="198"/>
      <c r="BVG46" s="198"/>
      <c r="BVH46" s="198"/>
      <c r="BVI46" s="198"/>
      <c r="BVJ46" s="827"/>
      <c r="BVK46" s="198"/>
      <c r="BVL46" s="826"/>
      <c r="BVM46" s="1437"/>
      <c r="BVN46" s="1438"/>
      <c r="BVO46" s="198"/>
      <c r="BVP46" s="198"/>
      <c r="BVQ46" s="198"/>
      <c r="BVR46" s="198"/>
      <c r="BVS46" s="198"/>
      <c r="BVT46" s="198"/>
      <c r="BVU46" s="827"/>
      <c r="BVV46" s="198"/>
      <c r="BVW46" s="826"/>
      <c r="BVX46" s="1437"/>
      <c r="BVY46" s="1438"/>
      <c r="BVZ46" s="198"/>
      <c r="BWA46" s="198"/>
      <c r="BWB46" s="198"/>
      <c r="BWC46" s="198"/>
      <c r="BWD46" s="198"/>
      <c r="BWE46" s="198"/>
      <c r="BWF46" s="827"/>
      <c r="BWG46" s="198"/>
      <c r="BWH46" s="826"/>
      <c r="BWI46" s="1437"/>
      <c r="BWJ46" s="1438"/>
      <c r="BWK46" s="198"/>
      <c r="BWL46" s="198"/>
      <c r="BWM46" s="198"/>
      <c r="BWN46" s="198"/>
      <c r="BWO46" s="198"/>
      <c r="BWP46" s="198"/>
      <c r="BWQ46" s="827"/>
      <c r="BWR46" s="198"/>
      <c r="BWS46" s="826"/>
      <c r="BWT46" s="1437"/>
      <c r="BWU46" s="1438"/>
      <c r="BWV46" s="198"/>
      <c r="BWW46" s="198"/>
      <c r="BWX46" s="198"/>
      <c r="BWY46" s="198"/>
      <c r="BWZ46" s="198"/>
      <c r="BXA46" s="198"/>
      <c r="BXB46" s="827"/>
      <c r="BXC46" s="198"/>
      <c r="BXD46" s="826"/>
      <c r="BXE46" s="1437"/>
      <c r="BXF46" s="1438"/>
      <c r="BXG46" s="198"/>
      <c r="BXH46" s="198"/>
      <c r="BXI46" s="198"/>
      <c r="BXJ46" s="198"/>
      <c r="BXK46" s="198"/>
      <c r="BXL46" s="198"/>
      <c r="BXM46" s="827"/>
      <c r="BXN46" s="198"/>
      <c r="BXO46" s="826"/>
      <c r="BXP46" s="1437"/>
      <c r="BXQ46" s="1438"/>
      <c r="BXR46" s="198"/>
      <c r="BXS46" s="198"/>
      <c r="BXT46" s="198"/>
      <c r="BXU46" s="198"/>
      <c r="BXV46" s="198"/>
      <c r="BXW46" s="198"/>
      <c r="BXX46" s="827"/>
      <c r="BXY46" s="198"/>
      <c r="BXZ46" s="826"/>
      <c r="BYA46" s="1437"/>
      <c r="BYB46" s="1438"/>
      <c r="BYC46" s="198"/>
      <c r="BYD46" s="198"/>
      <c r="BYE46" s="198"/>
      <c r="BYF46" s="198"/>
      <c r="BYG46" s="198"/>
      <c r="BYH46" s="198"/>
      <c r="BYI46" s="827"/>
      <c r="BYJ46" s="198"/>
      <c r="BYK46" s="826"/>
      <c r="BYL46" s="1437"/>
      <c r="BYM46" s="1438"/>
      <c r="BYN46" s="198"/>
      <c r="BYO46" s="198"/>
      <c r="BYP46" s="198"/>
      <c r="BYQ46" s="198"/>
      <c r="BYR46" s="198"/>
      <c r="BYS46" s="198"/>
      <c r="BYT46" s="827"/>
      <c r="BYU46" s="198"/>
      <c r="BYV46" s="826"/>
      <c r="BYW46" s="1437"/>
      <c r="BYX46" s="1438"/>
      <c r="BYY46" s="198"/>
      <c r="BYZ46" s="198"/>
      <c r="BZA46" s="198"/>
      <c r="BZB46" s="198"/>
      <c r="BZC46" s="198"/>
      <c r="BZD46" s="198"/>
      <c r="BZE46" s="827"/>
      <c r="BZF46" s="198"/>
      <c r="BZG46" s="826"/>
      <c r="BZH46" s="1437"/>
      <c r="BZI46" s="1438"/>
      <c r="BZJ46" s="198"/>
      <c r="BZK46" s="198"/>
      <c r="BZL46" s="198"/>
      <c r="BZM46" s="198"/>
      <c r="BZN46" s="198"/>
      <c r="BZO46" s="198"/>
      <c r="BZP46" s="827"/>
      <c r="BZQ46" s="198"/>
      <c r="BZR46" s="826"/>
      <c r="BZS46" s="1437"/>
      <c r="BZT46" s="1438"/>
      <c r="BZU46" s="198"/>
      <c r="BZV46" s="198"/>
      <c r="BZW46" s="198"/>
      <c r="BZX46" s="198"/>
      <c r="BZY46" s="198"/>
      <c r="BZZ46" s="198"/>
      <c r="CAA46" s="827"/>
      <c r="CAB46" s="198"/>
      <c r="CAC46" s="826"/>
      <c r="CAD46" s="1437"/>
      <c r="CAE46" s="1438"/>
      <c r="CAF46" s="198"/>
      <c r="CAG46" s="198"/>
      <c r="CAH46" s="198"/>
      <c r="CAI46" s="198"/>
      <c r="CAJ46" s="198"/>
      <c r="CAK46" s="198"/>
      <c r="CAL46" s="827"/>
      <c r="CAM46" s="198"/>
      <c r="CAN46" s="826"/>
      <c r="CAO46" s="1437"/>
      <c r="CAP46" s="1438"/>
      <c r="CAQ46" s="198"/>
      <c r="CAR46" s="198"/>
      <c r="CAS46" s="198"/>
      <c r="CAT46" s="198"/>
      <c r="CAU46" s="198"/>
      <c r="CAV46" s="198"/>
      <c r="CAW46" s="827"/>
      <c r="CAX46" s="198"/>
      <c r="CAY46" s="826"/>
      <c r="CAZ46" s="1437"/>
      <c r="CBA46" s="1438"/>
      <c r="CBB46" s="198"/>
      <c r="CBC46" s="198"/>
      <c r="CBD46" s="198"/>
      <c r="CBE46" s="198"/>
      <c r="CBF46" s="198"/>
      <c r="CBG46" s="198"/>
      <c r="CBH46" s="827"/>
      <c r="CBI46" s="198"/>
      <c r="CBJ46" s="826"/>
      <c r="CBK46" s="1437"/>
      <c r="CBL46" s="1438"/>
      <c r="CBM46" s="198"/>
      <c r="CBN46" s="198"/>
      <c r="CBO46" s="198"/>
      <c r="CBP46" s="198"/>
      <c r="CBQ46" s="198"/>
      <c r="CBR46" s="198"/>
      <c r="CBS46" s="827"/>
      <c r="CBT46" s="198"/>
      <c r="CBU46" s="826"/>
      <c r="CBV46" s="1437"/>
      <c r="CBW46" s="1438"/>
      <c r="CBX46" s="198"/>
      <c r="CBY46" s="198"/>
      <c r="CBZ46" s="198"/>
      <c r="CCA46" s="198"/>
      <c r="CCB46" s="198"/>
      <c r="CCC46" s="198"/>
      <c r="CCD46" s="827"/>
      <c r="CCE46" s="198"/>
      <c r="CCF46" s="826"/>
      <c r="CCG46" s="1437"/>
      <c r="CCH46" s="1438"/>
      <c r="CCI46" s="198"/>
      <c r="CCJ46" s="198"/>
      <c r="CCK46" s="198"/>
      <c r="CCL46" s="198"/>
      <c r="CCM46" s="198"/>
      <c r="CCN46" s="198"/>
      <c r="CCO46" s="827"/>
      <c r="CCP46" s="198"/>
      <c r="CCQ46" s="826"/>
      <c r="CCR46" s="1437"/>
      <c r="CCS46" s="1438"/>
      <c r="CCT46" s="198"/>
      <c r="CCU46" s="198"/>
      <c r="CCV46" s="198"/>
      <c r="CCW46" s="198"/>
      <c r="CCX46" s="198"/>
      <c r="CCY46" s="198"/>
      <c r="CCZ46" s="827"/>
      <c r="CDA46" s="198"/>
      <c r="CDB46" s="826"/>
      <c r="CDC46" s="1437"/>
      <c r="CDD46" s="1438"/>
      <c r="CDE46" s="198"/>
      <c r="CDF46" s="198"/>
      <c r="CDG46" s="198"/>
      <c r="CDH46" s="198"/>
      <c r="CDI46" s="198"/>
      <c r="CDJ46" s="198"/>
      <c r="CDK46" s="827"/>
      <c r="CDL46" s="198"/>
      <c r="CDM46" s="826"/>
      <c r="CDN46" s="1437"/>
      <c r="CDO46" s="1438"/>
      <c r="CDP46" s="198"/>
      <c r="CDQ46" s="198"/>
      <c r="CDR46" s="198"/>
      <c r="CDS46" s="198"/>
      <c r="CDT46" s="198"/>
      <c r="CDU46" s="198"/>
      <c r="CDV46" s="827"/>
      <c r="CDW46" s="198"/>
      <c r="CDX46" s="826"/>
      <c r="CDY46" s="1437"/>
      <c r="CDZ46" s="1438"/>
      <c r="CEA46" s="198"/>
      <c r="CEB46" s="198"/>
      <c r="CEC46" s="198"/>
      <c r="CED46" s="198"/>
      <c r="CEE46" s="198"/>
      <c r="CEF46" s="198"/>
      <c r="CEG46" s="827"/>
      <c r="CEH46" s="198"/>
      <c r="CEI46" s="826"/>
      <c r="CEJ46" s="1437"/>
      <c r="CEK46" s="1438"/>
      <c r="CEL46" s="198"/>
      <c r="CEM46" s="198"/>
      <c r="CEN46" s="198"/>
      <c r="CEO46" s="198"/>
      <c r="CEP46" s="198"/>
      <c r="CEQ46" s="198"/>
      <c r="CER46" s="827"/>
      <c r="CES46" s="198"/>
      <c r="CET46" s="826"/>
      <c r="CEU46" s="1437"/>
      <c r="CEV46" s="1438"/>
      <c r="CEW46" s="198"/>
      <c r="CEX46" s="198"/>
      <c r="CEY46" s="198"/>
      <c r="CEZ46" s="198"/>
      <c r="CFA46" s="198"/>
      <c r="CFB46" s="198"/>
      <c r="CFC46" s="827"/>
      <c r="CFD46" s="198"/>
      <c r="CFE46" s="826"/>
      <c r="CFF46" s="1437"/>
      <c r="CFG46" s="1438"/>
      <c r="CFH46" s="198"/>
      <c r="CFI46" s="198"/>
      <c r="CFJ46" s="198"/>
      <c r="CFK46" s="198"/>
      <c r="CFL46" s="198"/>
      <c r="CFM46" s="198"/>
      <c r="CFN46" s="827"/>
      <c r="CFO46" s="198"/>
      <c r="CFP46" s="826"/>
      <c r="CFQ46" s="1437"/>
      <c r="CFR46" s="1438"/>
      <c r="CFS46" s="198"/>
      <c r="CFT46" s="198"/>
      <c r="CFU46" s="198"/>
      <c r="CFV46" s="198"/>
      <c r="CFW46" s="198"/>
      <c r="CFX46" s="198"/>
      <c r="CFY46" s="827"/>
      <c r="CFZ46" s="198"/>
      <c r="CGA46" s="826"/>
      <c r="CGB46" s="1437"/>
      <c r="CGC46" s="1438"/>
      <c r="CGD46" s="198"/>
      <c r="CGE46" s="198"/>
      <c r="CGF46" s="198"/>
      <c r="CGG46" s="198"/>
      <c r="CGH46" s="198"/>
      <c r="CGI46" s="198"/>
      <c r="CGJ46" s="827"/>
      <c r="CGK46" s="198"/>
      <c r="CGL46" s="826"/>
      <c r="CGM46" s="1437"/>
      <c r="CGN46" s="1438"/>
      <c r="CGO46" s="198"/>
      <c r="CGP46" s="198"/>
      <c r="CGQ46" s="198"/>
      <c r="CGR46" s="198"/>
      <c r="CGS46" s="198"/>
      <c r="CGT46" s="198"/>
      <c r="CGU46" s="827"/>
      <c r="CGV46" s="198"/>
      <c r="CGW46" s="826"/>
      <c r="CGX46" s="1437"/>
      <c r="CGY46" s="1438"/>
      <c r="CGZ46" s="198"/>
      <c r="CHA46" s="198"/>
      <c r="CHB46" s="198"/>
      <c r="CHC46" s="198"/>
      <c r="CHD46" s="198"/>
      <c r="CHE46" s="198"/>
      <c r="CHF46" s="827"/>
      <c r="CHG46" s="198"/>
      <c r="CHH46" s="826"/>
      <c r="CHI46" s="1437"/>
      <c r="CHJ46" s="1438"/>
      <c r="CHK46" s="198"/>
      <c r="CHL46" s="198"/>
      <c r="CHM46" s="198"/>
      <c r="CHN46" s="198"/>
      <c r="CHO46" s="198"/>
      <c r="CHP46" s="198"/>
      <c r="CHQ46" s="827"/>
      <c r="CHR46" s="198"/>
      <c r="CHS46" s="826"/>
      <c r="CHT46" s="1437"/>
      <c r="CHU46" s="1438"/>
      <c r="CHV46" s="198"/>
      <c r="CHW46" s="198"/>
      <c r="CHX46" s="198"/>
      <c r="CHY46" s="198"/>
      <c r="CHZ46" s="198"/>
      <c r="CIA46" s="198"/>
      <c r="CIB46" s="827"/>
      <c r="CIC46" s="198"/>
      <c r="CID46" s="826"/>
      <c r="CIE46" s="1437"/>
      <c r="CIF46" s="1438"/>
      <c r="CIG46" s="198"/>
      <c r="CIH46" s="198"/>
      <c r="CII46" s="198"/>
      <c r="CIJ46" s="198"/>
      <c r="CIK46" s="198"/>
      <c r="CIL46" s="198"/>
      <c r="CIM46" s="827"/>
      <c r="CIN46" s="198"/>
      <c r="CIO46" s="826"/>
      <c r="CIP46" s="1437"/>
      <c r="CIQ46" s="1438"/>
      <c r="CIR46" s="198"/>
      <c r="CIS46" s="198"/>
      <c r="CIT46" s="198"/>
      <c r="CIU46" s="198"/>
      <c r="CIV46" s="198"/>
      <c r="CIW46" s="198"/>
      <c r="CIX46" s="827"/>
      <c r="CIY46" s="198"/>
      <c r="CIZ46" s="826"/>
      <c r="CJA46" s="1437"/>
      <c r="CJB46" s="1438"/>
      <c r="CJC46" s="198"/>
      <c r="CJD46" s="198"/>
      <c r="CJE46" s="198"/>
      <c r="CJF46" s="198"/>
      <c r="CJG46" s="198"/>
      <c r="CJH46" s="198"/>
      <c r="CJI46" s="827"/>
      <c r="CJJ46" s="198"/>
      <c r="CJK46" s="826"/>
      <c r="CJL46" s="1437"/>
      <c r="CJM46" s="1438"/>
      <c r="CJN46" s="198"/>
      <c r="CJO46" s="198"/>
      <c r="CJP46" s="198"/>
      <c r="CJQ46" s="198"/>
      <c r="CJR46" s="198"/>
      <c r="CJS46" s="198"/>
      <c r="CJT46" s="827"/>
      <c r="CJU46" s="198"/>
      <c r="CJV46" s="826"/>
      <c r="CJW46" s="1437"/>
      <c r="CJX46" s="1438"/>
      <c r="CJY46" s="198"/>
      <c r="CJZ46" s="198"/>
      <c r="CKA46" s="198"/>
      <c r="CKB46" s="198"/>
      <c r="CKC46" s="198"/>
      <c r="CKD46" s="198"/>
      <c r="CKE46" s="827"/>
      <c r="CKF46" s="198"/>
      <c r="CKG46" s="826"/>
      <c r="CKH46" s="1437"/>
      <c r="CKI46" s="1438"/>
      <c r="CKJ46" s="198"/>
      <c r="CKK46" s="198"/>
      <c r="CKL46" s="198"/>
      <c r="CKM46" s="198"/>
      <c r="CKN46" s="198"/>
      <c r="CKO46" s="198"/>
      <c r="CKP46" s="827"/>
      <c r="CKQ46" s="198"/>
      <c r="CKR46" s="826"/>
      <c r="CKS46" s="1437"/>
      <c r="CKT46" s="1438"/>
      <c r="CKU46" s="198"/>
      <c r="CKV46" s="198"/>
      <c r="CKW46" s="198"/>
      <c r="CKX46" s="198"/>
      <c r="CKY46" s="198"/>
      <c r="CKZ46" s="198"/>
      <c r="CLA46" s="827"/>
      <c r="CLB46" s="198"/>
      <c r="CLC46" s="826"/>
      <c r="CLD46" s="1437"/>
      <c r="CLE46" s="1438"/>
      <c r="CLF46" s="198"/>
      <c r="CLG46" s="198"/>
      <c r="CLH46" s="198"/>
      <c r="CLI46" s="198"/>
      <c r="CLJ46" s="198"/>
      <c r="CLK46" s="198"/>
      <c r="CLL46" s="827"/>
      <c r="CLM46" s="198"/>
      <c r="CLN46" s="826"/>
      <c r="CLO46" s="1437"/>
      <c r="CLP46" s="1438"/>
      <c r="CLQ46" s="198"/>
      <c r="CLR46" s="198"/>
      <c r="CLS46" s="198"/>
      <c r="CLT46" s="198"/>
      <c r="CLU46" s="198"/>
      <c r="CLV46" s="198"/>
      <c r="CLW46" s="827"/>
      <c r="CLX46" s="198"/>
      <c r="CLY46" s="826"/>
      <c r="CLZ46" s="1437"/>
      <c r="CMA46" s="1438"/>
      <c r="CMB46" s="198"/>
      <c r="CMC46" s="198"/>
      <c r="CMD46" s="198"/>
      <c r="CME46" s="198"/>
      <c r="CMF46" s="198"/>
      <c r="CMG46" s="198"/>
      <c r="CMH46" s="827"/>
      <c r="CMI46" s="198"/>
      <c r="CMJ46" s="826"/>
      <c r="CMK46" s="1437"/>
      <c r="CML46" s="1438"/>
      <c r="CMM46" s="198"/>
      <c r="CMN46" s="198"/>
      <c r="CMO46" s="198"/>
      <c r="CMP46" s="198"/>
      <c r="CMQ46" s="198"/>
      <c r="CMR46" s="198"/>
      <c r="CMS46" s="827"/>
      <c r="CMT46" s="198"/>
      <c r="CMU46" s="826"/>
      <c r="CMV46" s="1437"/>
      <c r="CMW46" s="1438"/>
      <c r="CMX46" s="198"/>
      <c r="CMY46" s="198"/>
      <c r="CMZ46" s="198"/>
      <c r="CNA46" s="198"/>
      <c r="CNB46" s="198"/>
      <c r="CNC46" s="198"/>
      <c r="CND46" s="827"/>
      <c r="CNE46" s="198"/>
      <c r="CNF46" s="826"/>
      <c r="CNG46" s="1437"/>
      <c r="CNH46" s="1438"/>
      <c r="CNI46" s="198"/>
      <c r="CNJ46" s="198"/>
      <c r="CNK46" s="198"/>
      <c r="CNL46" s="198"/>
      <c r="CNM46" s="198"/>
      <c r="CNN46" s="198"/>
      <c r="CNO46" s="827"/>
      <c r="CNP46" s="198"/>
      <c r="CNQ46" s="826"/>
      <c r="CNR46" s="1437"/>
      <c r="CNS46" s="1438"/>
      <c r="CNT46" s="198"/>
      <c r="CNU46" s="198"/>
      <c r="CNV46" s="198"/>
      <c r="CNW46" s="198"/>
      <c r="CNX46" s="198"/>
      <c r="CNY46" s="198"/>
      <c r="CNZ46" s="827"/>
      <c r="COA46" s="198"/>
      <c r="COB46" s="826"/>
      <c r="COC46" s="1437"/>
      <c r="COD46" s="1438"/>
      <c r="COE46" s="198"/>
      <c r="COF46" s="198"/>
      <c r="COG46" s="198"/>
      <c r="COH46" s="198"/>
      <c r="COI46" s="198"/>
      <c r="COJ46" s="198"/>
      <c r="COK46" s="827"/>
      <c r="COL46" s="198"/>
      <c r="COM46" s="826"/>
      <c r="CON46" s="1437"/>
      <c r="COO46" s="1438"/>
      <c r="COP46" s="198"/>
      <c r="COQ46" s="198"/>
      <c r="COR46" s="198"/>
      <c r="COS46" s="198"/>
      <c r="COT46" s="198"/>
      <c r="COU46" s="198"/>
      <c r="COV46" s="827"/>
      <c r="COW46" s="198"/>
      <c r="COX46" s="826"/>
      <c r="COY46" s="1437"/>
      <c r="COZ46" s="1438"/>
      <c r="CPA46" s="198"/>
      <c r="CPB46" s="198"/>
      <c r="CPC46" s="198"/>
      <c r="CPD46" s="198"/>
      <c r="CPE46" s="198"/>
      <c r="CPF46" s="198"/>
      <c r="CPG46" s="827"/>
      <c r="CPH46" s="198"/>
      <c r="CPI46" s="826"/>
      <c r="CPJ46" s="1437"/>
      <c r="CPK46" s="1438"/>
      <c r="CPL46" s="198"/>
      <c r="CPM46" s="198"/>
      <c r="CPN46" s="198"/>
      <c r="CPO46" s="198"/>
      <c r="CPP46" s="198"/>
      <c r="CPQ46" s="198"/>
      <c r="CPR46" s="827"/>
      <c r="CPS46" s="198"/>
      <c r="CPT46" s="826"/>
      <c r="CPU46" s="1437"/>
      <c r="CPV46" s="1438"/>
      <c r="CPW46" s="198"/>
      <c r="CPX46" s="198"/>
      <c r="CPY46" s="198"/>
      <c r="CPZ46" s="198"/>
      <c r="CQA46" s="198"/>
      <c r="CQB46" s="198"/>
      <c r="CQC46" s="827"/>
      <c r="CQD46" s="198"/>
      <c r="CQE46" s="826"/>
      <c r="CQF46" s="1437"/>
      <c r="CQG46" s="1438"/>
      <c r="CQH46" s="198"/>
      <c r="CQI46" s="198"/>
      <c r="CQJ46" s="198"/>
      <c r="CQK46" s="198"/>
      <c r="CQL46" s="198"/>
      <c r="CQM46" s="198"/>
      <c r="CQN46" s="827"/>
      <c r="CQO46" s="198"/>
      <c r="CQP46" s="826"/>
      <c r="CQQ46" s="1437"/>
      <c r="CQR46" s="1438"/>
      <c r="CQS46" s="198"/>
      <c r="CQT46" s="198"/>
      <c r="CQU46" s="198"/>
      <c r="CQV46" s="198"/>
      <c r="CQW46" s="198"/>
      <c r="CQX46" s="198"/>
      <c r="CQY46" s="827"/>
      <c r="CQZ46" s="198"/>
      <c r="CRA46" s="826"/>
      <c r="CRB46" s="1437"/>
      <c r="CRC46" s="1438"/>
      <c r="CRD46" s="198"/>
      <c r="CRE46" s="198"/>
      <c r="CRF46" s="198"/>
      <c r="CRG46" s="198"/>
      <c r="CRH46" s="198"/>
      <c r="CRI46" s="198"/>
      <c r="CRJ46" s="827"/>
      <c r="CRK46" s="198"/>
      <c r="CRL46" s="826"/>
      <c r="CRM46" s="1437"/>
      <c r="CRN46" s="1438"/>
      <c r="CRO46" s="198"/>
      <c r="CRP46" s="198"/>
      <c r="CRQ46" s="198"/>
      <c r="CRR46" s="198"/>
      <c r="CRS46" s="198"/>
      <c r="CRT46" s="198"/>
      <c r="CRU46" s="827"/>
      <c r="CRV46" s="198"/>
      <c r="CRW46" s="826"/>
      <c r="CRX46" s="1437"/>
      <c r="CRY46" s="1438"/>
      <c r="CRZ46" s="198"/>
      <c r="CSA46" s="198"/>
      <c r="CSB46" s="198"/>
      <c r="CSC46" s="198"/>
      <c r="CSD46" s="198"/>
      <c r="CSE46" s="198"/>
      <c r="CSF46" s="827"/>
      <c r="CSG46" s="198"/>
      <c r="CSH46" s="826"/>
      <c r="CSI46" s="1437"/>
      <c r="CSJ46" s="1438"/>
      <c r="CSK46" s="198"/>
      <c r="CSL46" s="198"/>
      <c r="CSM46" s="198"/>
      <c r="CSN46" s="198"/>
      <c r="CSO46" s="198"/>
      <c r="CSP46" s="198"/>
      <c r="CSQ46" s="827"/>
      <c r="CSR46" s="198"/>
      <c r="CSS46" s="826"/>
      <c r="CST46" s="1437"/>
      <c r="CSU46" s="1438"/>
      <c r="CSV46" s="198"/>
      <c r="CSW46" s="198"/>
      <c r="CSX46" s="198"/>
      <c r="CSY46" s="198"/>
      <c r="CSZ46" s="198"/>
      <c r="CTA46" s="198"/>
      <c r="CTB46" s="827"/>
      <c r="CTC46" s="198"/>
      <c r="CTD46" s="826"/>
      <c r="CTE46" s="1437"/>
      <c r="CTF46" s="1438"/>
      <c r="CTG46" s="198"/>
      <c r="CTH46" s="198"/>
      <c r="CTI46" s="198"/>
      <c r="CTJ46" s="198"/>
      <c r="CTK46" s="198"/>
      <c r="CTL46" s="198"/>
      <c r="CTM46" s="827"/>
      <c r="CTN46" s="198"/>
      <c r="CTO46" s="826"/>
      <c r="CTP46" s="1437"/>
      <c r="CTQ46" s="1438"/>
      <c r="CTR46" s="198"/>
      <c r="CTS46" s="198"/>
      <c r="CTT46" s="198"/>
      <c r="CTU46" s="198"/>
      <c r="CTV46" s="198"/>
      <c r="CTW46" s="198"/>
      <c r="CTX46" s="827"/>
      <c r="CTY46" s="198"/>
      <c r="CTZ46" s="826"/>
      <c r="CUA46" s="1437"/>
      <c r="CUB46" s="1438"/>
      <c r="CUC46" s="198"/>
      <c r="CUD46" s="198"/>
      <c r="CUE46" s="198"/>
      <c r="CUF46" s="198"/>
      <c r="CUG46" s="198"/>
      <c r="CUH46" s="198"/>
      <c r="CUI46" s="827"/>
      <c r="CUJ46" s="198"/>
      <c r="CUK46" s="826"/>
      <c r="CUL46" s="1437"/>
      <c r="CUM46" s="1438"/>
      <c r="CUN46" s="198"/>
      <c r="CUO46" s="198"/>
      <c r="CUP46" s="198"/>
      <c r="CUQ46" s="198"/>
      <c r="CUR46" s="198"/>
      <c r="CUS46" s="198"/>
      <c r="CUT46" s="827"/>
      <c r="CUU46" s="198"/>
      <c r="CUV46" s="826"/>
      <c r="CUW46" s="1437"/>
      <c r="CUX46" s="1438"/>
      <c r="CUY46" s="198"/>
      <c r="CUZ46" s="198"/>
      <c r="CVA46" s="198"/>
      <c r="CVB46" s="198"/>
      <c r="CVC46" s="198"/>
      <c r="CVD46" s="198"/>
      <c r="CVE46" s="827"/>
      <c r="CVF46" s="198"/>
      <c r="CVG46" s="826"/>
      <c r="CVH46" s="1437"/>
      <c r="CVI46" s="1438"/>
      <c r="CVJ46" s="198"/>
      <c r="CVK46" s="198"/>
      <c r="CVL46" s="198"/>
      <c r="CVM46" s="198"/>
      <c r="CVN46" s="198"/>
      <c r="CVO46" s="198"/>
      <c r="CVP46" s="827"/>
      <c r="CVQ46" s="198"/>
      <c r="CVR46" s="826"/>
      <c r="CVS46" s="1437"/>
      <c r="CVT46" s="1438"/>
      <c r="CVU46" s="198"/>
      <c r="CVV46" s="198"/>
      <c r="CVW46" s="198"/>
      <c r="CVX46" s="198"/>
      <c r="CVY46" s="198"/>
      <c r="CVZ46" s="198"/>
      <c r="CWA46" s="827"/>
      <c r="CWB46" s="198"/>
      <c r="CWC46" s="826"/>
      <c r="CWD46" s="1437"/>
      <c r="CWE46" s="1438"/>
      <c r="CWF46" s="198"/>
      <c r="CWG46" s="198"/>
      <c r="CWH46" s="198"/>
      <c r="CWI46" s="198"/>
      <c r="CWJ46" s="198"/>
      <c r="CWK46" s="198"/>
      <c r="CWL46" s="827"/>
      <c r="CWM46" s="198"/>
      <c r="CWN46" s="826"/>
      <c r="CWO46" s="1437"/>
      <c r="CWP46" s="1438"/>
      <c r="CWQ46" s="198"/>
      <c r="CWR46" s="198"/>
      <c r="CWS46" s="198"/>
      <c r="CWT46" s="198"/>
      <c r="CWU46" s="198"/>
      <c r="CWV46" s="198"/>
      <c r="CWW46" s="827"/>
      <c r="CWX46" s="198"/>
      <c r="CWY46" s="826"/>
      <c r="CWZ46" s="1437"/>
      <c r="CXA46" s="1438"/>
      <c r="CXB46" s="198"/>
      <c r="CXC46" s="198"/>
      <c r="CXD46" s="198"/>
      <c r="CXE46" s="198"/>
      <c r="CXF46" s="198"/>
      <c r="CXG46" s="198"/>
      <c r="CXH46" s="827"/>
      <c r="CXI46" s="198"/>
      <c r="CXJ46" s="826"/>
      <c r="CXK46" s="1437"/>
      <c r="CXL46" s="1438"/>
      <c r="CXM46" s="198"/>
      <c r="CXN46" s="198"/>
      <c r="CXO46" s="198"/>
      <c r="CXP46" s="198"/>
      <c r="CXQ46" s="198"/>
      <c r="CXR46" s="198"/>
      <c r="CXS46" s="827"/>
      <c r="CXT46" s="198"/>
      <c r="CXU46" s="826"/>
      <c r="CXV46" s="1437"/>
      <c r="CXW46" s="1438"/>
      <c r="CXX46" s="198"/>
      <c r="CXY46" s="198"/>
      <c r="CXZ46" s="198"/>
      <c r="CYA46" s="198"/>
      <c r="CYB46" s="198"/>
      <c r="CYC46" s="198"/>
      <c r="CYD46" s="827"/>
      <c r="CYE46" s="198"/>
      <c r="CYF46" s="826"/>
      <c r="CYG46" s="1437"/>
      <c r="CYH46" s="1438"/>
      <c r="CYI46" s="198"/>
      <c r="CYJ46" s="198"/>
      <c r="CYK46" s="198"/>
      <c r="CYL46" s="198"/>
      <c r="CYM46" s="198"/>
      <c r="CYN46" s="198"/>
      <c r="CYO46" s="827"/>
      <c r="CYP46" s="198"/>
      <c r="CYQ46" s="826"/>
      <c r="CYR46" s="1437"/>
      <c r="CYS46" s="1438"/>
      <c r="CYT46" s="198"/>
      <c r="CYU46" s="198"/>
      <c r="CYV46" s="198"/>
      <c r="CYW46" s="198"/>
      <c r="CYX46" s="198"/>
      <c r="CYY46" s="198"/>
      <c r="CYZ46" s="827"/>
      <c r="CZA46" s="198"/>
      <c r="CZB46" s="826"/>
      <c r="CZC46" s="1437"/>
      <c r="CZD46" s="1438"/>
      <c r="CZE46" s="198"/>
      <c r="CZF46" s="198"/>
      <c r="CZG46" s="198"/>
      <c r="CZH46" s="198"/>
      <c r="CZI46" s="198"/>
      <c r="CZJ46" s="198"/>
      <c r="CZK46" s="827"/>
      <c r="CZL46" s="198"/>
      <c r="CZM46" s="826"/>
      <c r="CZN46" s="1437"/>
      <c r="CZO46" s="1438"/>
      <c r="CZP46" s="198"/>
      <c r="CZQ46" s="198"/>
      <c r="CZR46" s="198"/>
      <c r="CZS46" s="198"/>
      <c r="CZT46" s="198"/>
      <c r="CZU46" s="198"/>
      <c r="CZV46" s="827"/>
      <c r="CZW46" s="198"/>
      <c r="CZX46" s="826"/>
      <c r="CZY46" s="1437"/>
      <c r="CZZ46" s="1438"/>
      <c r="DAA46" s="198"/>
      <c r="DAB46" s="198"/>
      <c r="DAC46" s="198"/>
      <c r="DAD46" s="198"/>
      <c r="DAE46" s="198"/>
      <c r="DAF46" s="198"/>
      <c r="DAG46" s="827"/>
      <c r="DAH46" s="198"/>
      <c r="DAI46" s="826"/>
      <c r="DAJ46" s="1437"/>
      <c r="DAK46" s="1438"/>
      <c r="DAL46" s="198"/>
      <c r="DAM46" s="198"/>
      <c r="DAN46" s="198"/>
      <c r="DAO46" s="198"/>
      <c r="DAP46" s="198"/>
      <c r="DAQ46" s="198"/>
      <c r="DAR46" s="827"/>
      <c r="DAS46" s="198"/>
      <c r="DAT46" s="826"/>
      <c r="DAU46" s="1437"/>
      <c r="DAV46" s="1438"/>
      <c r="DAW46" s="198"/>
      <c r="DAX46" s="198"/>
      <c r="DAY46" s="198"/>
      <c r="DAZ46" s="198"/>
      <c r="DBA46" s="198"/>
      <c r="DBB46" s="198"/>
      <c r="DBC46" s="827"/>
      <c r="DBD46" s="198"/>
      <c r="DBE46" s="826"/>
      <c r="DBF46" s="1437"/>
      <c r="DBG46" s="1438"/>
      <c r="DBH46" s="198"/>
      <c r="DBI46" s="198"/>
      <c r="DBJ46" s="198"/>
      <c r="DBK46" s="198"/>
      <c r="DBL46" s="198"/>
      <c r="DBM46" s="198"/>
      <c r="DBN46" s="827"/>
      <c r="DBO46" s="198"/>
      <c r="DBP46" s="826"/>
      <c r="DBQ46" s="1437"/>
      <c r="DBR46" s="1438"/>
      <c r="DBS46" s="198"/>
      <c r="DBT46" s="198"/>
      <c r="DBU46" s="198"/>
      <c r="DBV46" s="198"/>
      <c r="DBW46" s="198"/>
      <c r="DBX46" s="198"/>
      <c r="DBY46" s="827"/>
      <c r="DBZ46" s="198"/>
      <c r="DCA46" s="826"/>
      <c r="DCB46" s="1437"/>
      <c r="DCC46" s="1438"/>
      <c r="DCD46" s="198"/>
      <c r="DCE46" s="198"/>
      <c r="DCF46" s="198"/>
      <c r="DCG46" s="198"/>
      <c r="DCH46" s="198"/>
      <c r="DCI46" s="198"/>
      <c r="DCJ46" s="827"/>
      <c r="DCK46" s="198"/>
      <c r="DCL46" s="826"/>
      <c r="DCM46" s="1437"/>
      <c r="DCN46" s="1438"/>
      <c r="DCO46" s="198"/>
      <c r="DCP46" s="198"/>
      <c r="DCQ46" s="198"/>
      <c r="DCR46" s="198"/>
      <c r="DCS46" s="198"/>
      <c r="DCT46" s="198"/>
      <c r="DCU46" s="827"/>
      <c r="DCV46" s="198"/>
      <c r="DCW46" s="826"/>
      <c r="DCX46" s="1437"/>
      <c r="DCY46" s="1438"/>
      <c r="DCZ46" s="198"/>
      <c r="DDA46" s="198"/>
      <c r="DDB46" s="198"/>
      <c r="DDC46" s="198"/>
      <c r="DDD46" s="198"/>
      <c r="DDE46" s="198"/>
      <c r="DDF46" s="827"/>
      <c r="DDG46" s="198"/>
      <c r="DDH46" s="826"/>
      <c r="DDI46" s="1437"/>
      <c r="DDJ46" s="1438"/>
      <c r="DDK46" s="198"/>
      <c r="DDL46" s="198"/>
      <c r="DDM46" s="198"/>
      <c r="DDN46" s="198"/>
      <c r="DDO46" s="198"/>
      <c r="DDP46" s="198"/>
      <c r="DDQ46" s="827"/>
      <c r="DDR46" s="198"/>
      <c r="DDS46" s="826"/>
      <c r="DDT46" s="1437"/>
      <c r="DDU46" s="1438"/>
      <c r="DDV46" s="198"/>
      <c r="DDW46" s="198"/>
      <c r="DDX46" s="198"/>
      <c r="DDY46" s="198"/>
      <c r="DDZ46" s="198"/>
      <c r="DEA46" s="198"/>
      <c r="DEB46" s="827"/>
      <c r="DEC46" s="198"/>
      <c r="DED46" s="826"/>
      <c r="DEE46" s="1437"/>
      <c r="DEF46" s="1438"/>
      <c r="DEG46" s="198"/>
      <c r="DEH46" s="198"/>
      <c r="DEI46" s="198"/>
      <c r="DEJ46" s="198"/>
      <c r="DEK46" s="198"/>
      <c r="DEL46" s="198"/>
      <c r="DEM46" s="827"/>
      <c r="DEN46" s="198"/>
      <c r="DEO46" s="826"/>
      <c r="DEP46" s="1437"/>
      <c r="DEQ46" s="1438"/>
      <c r="DER46" s="198"/>
      <c r="DES46" s="198"/>
      <c r="DET46" s="198"/>
      <c r="DEU46" s="198"/>
      <c r="DEV46" s="198"/>
      <c r="DEW46" s="198"/>
      <c r="DEX46" s="827"/>
      <c r="DEY46" s="198"/>
      <c r="DEZ46" s="826"/>
      <c r="DFA46" s="1437"/>
      <c r="DFB46" s="1438"/>
      <c r="DFC46" s="198"/>
      <c r="DFD46" s="198"/>
      <c r="DFE46" s="198"/>
      <c r="DFF46" s="198"/>
      <c r="DFG46" s="198"/>
      <c r="DFH46" s="198"/>
      <c r="DFI46" s="827"/>
      <c r="DFJ46" s="198"/>
      <c r="DFK46" s="826"/>
      <c r="DFL46" s="1437"/>
      <c r="DFM46" s="1438"/>
      <c r="DFN46" s="198"/>
      <c r="DFO46" s="198"/>
      <c r="DFP46" s="198"/>
      <c r="DFQ46" s="198"/>
      <c r="DFR46" s="198"/>
      <c r="DFS46" s="198"/>
      <c r="DFT46" s="827"/>
      <c r="DFU46" s="198"/>
      <c r="DFV46" s="826"/>
      <c r="DFW46" s="1437"/>
      <c r="DFX46" s="1438"/>
      <c r="DFY46" s="198"/>
      <c r="DFZ46" s="198"/>
      <c r="DGA46" s="198"/>
      <c r="DGB46" s="198"/>
      <c r="DGC46" s="198"/>
      <c r="DGD46" s="198"/>
      <c r="DGE46" s="827"/>
      <c r="DGF46" s="198"/>
      <c r="DGG46" s="826"/>
      <c r="DGH46" s="1437"/>
      <c r="DGI46" s="1438"/>
      <c r="DGJ46" s="198"/>
      <c r="DGK46" s="198"/>
      <c r="DGL46" s="198"/>
      <c r="DGM46" s="198"/>
      <c r="DGN46" s="198"/>
      <c r="DGO46" s="198"/>
      <c r="DGP46" s="827"/>
      <c r="DGQ46" s="198"/>
      <c r="DGR46" s="826"/>
      <c r="DGS46" s="1437"/>
      <c r="DGT46" s="1438"/>
      <c r="DGU46" s="198"/>
      <c r="DGV46" s="198"/>
      <c r="DGW46" s="198"/>
      <c r="DGX46" s="198"/>
      <c r="DGY46" s="198"/>
      <c r="DGZ46" s="198"/>
      <c r="DHA46" s="827"/>
      <c r="DHB46" s="198"/>
      <c r="DHC46" s="826"/>
      <c r="DHD46" s="1437"/>
      <c r="DHE46" s="1438"/>
      <c r="DHF46" s="198"/>
      <c r="DHG46" s="198"/>
      <c r="DHH46" s="198"/>
      <c r="DHI46" s="198"/>
      <c r="DHJ46" s="198"/>
      <c r="DHK46" s="198"/>
      <c r="DHL46" s="827"/>
      <c r="DHM46" s="198"/>
      <c r="DHN46" s="826"/>
      <c r="DHO46" s="1437"/>
      <c r="DHP46" s="1438"/>
      <c r="DHQ46" s="198"/>
      <c r="DHR46" s="198"/>
      <c r="DHS46" s="198"/>
      <c r="DHT46" s="198"/>
      <c r="DHU46" s="198"/>
      <c r="DHV46" s="198"/>
      <c r="DHW46" s="827"/>
      <c r="DHX46" s="198"/>
      <c r="DHY46" s="826"/>
      <c r="DHZ46" s="1437"/>
      <c r="DIA46" s="1438"/>
      <c r="DIB46" s="198"/>
      <c r="DIC46" s="198"/>
      <c r="DID46" s="198"/>
      <c r="DIE46" s="198"/>
      <c r="DIF46" s="198"/>
      <c r="DIG46" s="198"/>
      <c r="DIH46" s="827"/>
      <c r="DII46" s="198"/>
      <c r="DIJ46" s="826"/>
      <c r="DIK46" s="1437"/>
      <c r="DIL46" s="1438"/>
      <c r="DIM46" s="198"/>
      <c r="DIN46" s="198"/>
      <c r="DIO46" s="198"/>
      <c r="DIP46" s="198"/>
      <c r="DIQ46" s="198"/>
      <c r="DIR46" s="198"/>
      <c r="DIS46" s="827"/>
      <c r="DIT46" s="198"/>
      <c r="DIU46" s="826"/>
      <c r="DIV46" s="1437"/>
      <c r="DIW46" s="1438"/>
      <c r="DIX46" s="198"/>
      <c r="DIY46" s="198"/>
      <c r="DIZ46" s="198"/>
      <c r="DJA46" s="198"/>
      <c r="DJB46" s="198"/>
      <c r="DJC46" s="198"/>
      <c r="DJD46" s="827"/>
      <c r="DJE46" s="198"/>
      <c r="DJF46" s="826"/>
      <c r="DJG46" s="1437"/>
      <c r="DJH46" s="1438"/>
      <c r="DJI46" s="198"/>
      <c r="DJJ46" s="198"/>
      <c r="DJK46" s="198"/>
      <c r="DJL46" s="198"/>
      <c r="DJM46" s="198"/>
      <c r="DJN46" s="198"/>
      <c r="DJO46" s="827"/>
      <c r="DJP46" s="198"/>
      <c r="DJQ46" s="826"/>
      <c r="DJR46" s="1437"/>
      <c r="DJS46" s="1438"/>
      <c r="DJT46" s="198"/>
      <c r="DJU46" s="198"/>
      <c r="DJV46" s="198"/>
      <c r="DJW46" s="198"/>
      <c r="DJX46" s="198"/>
      <c r="DJY46" s="198"/>
      <c r="DJZ46" s="827"/>
      <c r="DKA46" s="198"/>
      <c r="DKB46" s="826"/>
      <c r="DKC46" s="1437"/>
      <c r="DKD46" s="1438"/>
      <c r="DKE46" s="198"/>
      <c r="DKF46" s="198"/>
      <c r="DKG46" s="198"/>
      <c r="DKH46" s="198"/>
      <c r="DKI46" s="198"/>
      <c r="DKJ46" s="198"/>
      <c r="DKK46" s="827"/>
      <c r="DKL46" s="198"/>
      <c r="DKM46" s="826"/>
      <c r="DKN46" s="1437"/>
      <c r="DKO46" s="1438"/>
      <c r="DKP46" s="198"/>
      <c r="DKQ46" s="198"/>
      <c r="DKR46" s="198"/>
      <c r="DKS46" s="198"/>
      <c r="DKT46" s="198"/>
      <c r="DKU46" s="198"/>
      <c r="DKV46" s="827"/>
      <c r="DKW46" s="198"/>
      <c r="DKX46" s="826"/>
      <c r="DKY46" s="1437"/>
      <c r="DKZ46" s="1438"/>
      <c r="DLA46" s="198"/>
      <c r="DLB46" s="198"/>
      <c r="DLC46" s="198"/>
      <c r="DLD46" s="198"/>
      <c r="DLE46" s="198"/>
      <c r="DLF46" s="198"/>
      <c r="DLG46" s="827"/>
      <c r="DLH46" s="198"/>
      <c r="DLI46" s="826"/>
      <c r="DLJ46" s="1437"/>
      <c r="DLK46" s="1438"/>
      <c r="DLL46" s="198"/>
      <c r="DLM46" s="198"/>
      <c r="DLN46" s="198"/>
      <c r="DLO46" s="198"/>
      <c r="DLP46" s="198"/>
      <c r="DLQ46" s="198"/>
      <c r="DLR46" s="827"/>
      <c r="DLS46" s="198"/>
      <c r="DLT46" s="826"/>
      <c r="DLU46" s="1437"/>
      <c r="DLV46" s="1438"/>
      <c r="DLW46" s="198"/>
      <c r="DLX46" s="198"/>
      <c r="DLY46" s="198"/>
      <c r="DLZ46" s="198"/>
      <c r="DMA46" s="198"/>
      <c r="DMB46" s="198"/>
      <c r="DMC46" s="827"/>
      <c r="DMD46" s="198"/>
      <c r="DME46" s="826"/>
      <c r="DMF46" s="1437"/>
      <c r="DMG46" s="1438"/>
      <c r="DMH46" s="198"/>
      <c r="DMI46" s="198"/>
      <c r="DMJ46" s="198"/>
      <c r="DMK46" s="198"/>
      <c r="DML46" s="198"/>
      <c r="DMM46" s="198"/>
      <c r="DMN46" s="827"/>
      <c r="DMO46" s="198"/>
      <c r="DMP46" s="826"/>
      <c r="DMQ46" s="1437"/>
      <c r="DMR46" s="1438"/>
      <c r="DMS46" s="198"/>
      <c r="DMT46" s="198"/>
      <c r="DMU46" s="198"/>
      <c r="DMV46" s="198"/>
      <c r="DMW46" s="198"/>
      <c r="DMX46" s="198"/>
      <c r="DMY46" s="827"/>
      <c r="DMZ46" s="198"/>
      <c r="DNA46" s="826"/>
      <c r="DNB46" s="1437"/>
      <c r="DNC46" s="1438"/>
      <c r="DND46" s="198"/>
      <c r="DNE46" s="198"/>
      <c r="DNF46" s="198"/>
      <c r="DNG46" s="198"/>
      <c r="DNH46" s="198"/>
      <c r="DNI46" s="198"/>
      <c r="DNJ46" s="827"/>
      <c r="DNK46" s="198"/>
      <c r="DNL46" s="826"/>
      <c r="DNM46" s="1437"/>
      <c r="DNN46" s="1438"/>
      <c r="DNO46" s="198"/>
      <c r="DNP46" s="198"/>
      <c r="DNQ46" s="198"/>
      <c r="DNR46" s="198"/>
      <c r="DNS46" s="198"/>
      <c r="DNT46" s="198"/>
      <c r="DNU46" s="827"/>
      <c r="DNV46" s="198"/>
      <c r="DNW46" s="826"/>
      <c r="DNX46" s="1437"/>
      <c r="DNY46" s="1438"/>
      <c r="DNZ46" s="198"/>
      <c r="DOA46" s="198"/>
      <c r="DOB46" s="198"/>
      <c r="DOC46" s="198"/>
      <c r="DOD46" s="198"/>
      <c r="DOE46" s="198"/>
      <c r="DOF46" s="827"/>
      <c r="DOG46" s="198"/>
      <c r="DOH46" s="826"/>
      <c r="DOI46" s="1437"/>
      <c r="DOJ46" s="1438"/>
      <c r="DOK46" s="198"/>
      <c r="DOL46" s="198"/>
      <c r="DOM46" s="198"/>
      <c r="DON46" s="198"/>
      <c r="DOO46" s="198"/>
      <c r="DOP46" s="198"/>
      <c r="DOQ46" s="827"/>
      <c r="DOR46" s="198"/>
      <c r="DOS46" s="826"/>
      <c r="DOT46" s="1437"/>
      <c r="DOU46" s="1438"/>
      <c r="DOV46" s="198"/>
      <c r="DOW46" s="198"/>
      <c r="DOX46" s="198"/>
      <c r="DOY46" s="198"/>
      <c r="DOZ46" s="198"/>
      <c r="DPA46" s="198"/>
      <c r="DPB46" s="827"/>
      <c r="DPC46" s="198"/>
      <c r="DPD46" s="826"/>
      <c r="DPE46" s="1437"/>
      <c r="DPF46" s="1438"/>
      <c r="DPG46" s="198"/>
      <c r="DPH46" s="198"/>
      <c r="DPI46" s="198"/>
      <c r="DPJ46" s="198"/>
      <c r="DPK46" s="198"/>
      <c r="DPL46" s="198"/>
      <c r="DPM46" s="827"/>
      <c r="DPN46" s="198"/>
      <c r="DPO46" s="826"/>
      <c r="DPP46" s="1437"/>
      <c r="DPQ46" s="1438"/>
      <c r="DPR46" s="198"/>
      <c r="DPS46" s="198"/>
      <c r="DPT46" s="198"/>
      <c r="DPU46" s="198"/>
      <c r="DPV46" s="198"/>
      <c r="DPW46" s="198"/>
      <c r="DPX46" s="827"/>
      <c r="DPY46" s="198"/>
      <c r="DPZ46" s="826"/>
      <c r="DQA46" s="1437"/>
      <c r="DQB46" s="1438"/>
      <c r="DQC46" s="198"/>
      <c r="DQD46" s="198"/>
      <c r="DQE46" s="198"/>
      <c r="DQF46" s="198"/>
      <c r="DQG46" s="198"/>
      <c r="DQH46" s="198"/>
      <c r="DQI46" s="827"/>
      <c r="DQJ46" s="198"/>
      <c r="DQK46" s="826"/>
      <c r="DQL46" s="1437"/>
      <c r="DQM46" s="1438"/>
      <c r="DQN46" s="198"/>
      <c r="DQO46" s="198"/>
      <c r="DQP46" s="198"/>
      <c r="DQQ46" s="198"/>
      <c r="DQR46" s="198"/>
      <c r="DQS46" s="198"/>
      <c r="DQT46" s="827"/>
      <c r="DQU46" s="198"/>
      <c r="DQV46" s="826"/>
      <c r="DQW46" s="1437"/>
      <c r="DQX46" s="1438"/>
      <c r="DQY46" s="198"/>
      <c r="DQZ46" s="198"/>
      <c r="DRA46" s="198"/>
      <c r="DRB46" s="198"/>
      <c r="DRC46" s="198"/>
      <c r="DRD46" s="198"/>
      <c r="DRE46" s="827"/>
      <c r="DRF46" s="198"/>
      <c r="DRG46" s="826"/>
      <c r="DRH46" s="1437"/>
      <c r="DRI46" s="1438"/>
      <c r="DRJ46" s="198"/>
      <c r="DRK46" s="198"/>
      <c r="DRL46" s="198"/>
      <c r="DRM46" s="198"/>
      <c r="DRN46" s="198"/>
      <c r="DRO46" s="198"/>
      <c r="DRP46" s="827"/>
      <c r="DRQ46" s="198"/>
      <c r="DRR46" s="826"/>
      <c r="DRS46" s="1437"/>
      <c r="DRT46" s="1438"/>
      <c r="DRU46" s="198"/>
      <c r="DRV46" s="198"/>
      <c r="DRW46" s="198"/>
      <c r="DRX46" s="198"/>
      <c r="DRY46" s="198"/>
      <c r="DRZ46" s="198"/>
      <c r="DSA46" s="827"/>
      <c r="DSB46" s="198"/>
      <c r="DSC46" s="826"/>
      <c r="DSD46" s="1437"/>
      <c r="DSE46" s="1438"/>
      <c r="DSF46" s="198"/>
      <c r="DSG46" s="198"/>
      <c r="DSH46" s="198"/>
      <c r="DSI46" s="198"/>
      <c r="DSJ46" s="198"/>
      <c r="DSK46" s="198"/>
      <c r="DSL46" s="827"/>
      <c r="DSM46" s="198"/>
      <c r="DSN46" s="826"/>
      <c r="DSO46" s="1437"/>
      <c r="DSP46" s="1438"/>
      <c r="DSQ46" s="198"/>
      <c r="DSR46" s="198"/>
      <c r="DSS46" s="198"/>
      <c r="DST46" s="198"/>
      <c r="DSU46" s="198"/>
      <c r="DSV46" s="198"/>
      <c r="DSW46" s="827"/>
      <c r="DSX46" s="198"/>
      <c r="DSY46" s="826"/>
      <c r="DSZ46" s="1437"/>
      <c r="DTA46" s="1438"/>
      <c r="DTB46" s="198"/>
      <c r="DTC46" s="198"/>
      <c r="DTD46" s="198"/>
      <c r="DTE46" s="198"/>
      <c r="DTF46" s="198"/>
      <c r="DTG46" s="198"/>
      <c r="DTH46" s="827"/>
      <c r="DTI46" s="198"/>
      <c r="DTJ46" s="826"/>
      <c r="DTK46" s="1437"/>
      <c r="DTL46" s="1438"/>
      <c r="DTM46" s="198"/>
      <c r="DTN46" s="198"/>
      <c r="DTO46" s="198"/>
      <c r="DTP46" s="198"/>
      <c r="DTQ46" s="198"/>
      <c r="DTR46" s="198"/>
      <c r="DTS46" s="827"/>
      <c r="DTT46" s="198"/>
      <c r="DTU46" s="826"/>
      <c r="DTV46" s="1437"/>
      <c r="DTW46" s="1438"/>
      <c r="DTX46" s="198"/>
      <c r="DTY46" s="198"/>
      <c r="DTZ46" s="198"/>
      <c r="DUA46" s="198"/>
      <c r="DUB46" s="198"/>
      <c r="DUC46" s="198"/>
      <c r="DUD46" s="827"/>
      <c r="DUE46" s="198"/>
      <c r="DUF46" s="826"/>
      <c r="DUG46" s="1437"/>
      <c r="DUH46" s="1438"/>
      <c r="DUI46" s="198"/>
      <c r="DUJ46" s="198"/>
      <c r="DUK46" s="198"/>
      <c r="DUL46" s="198"/>
      <c r="DUM46" s="198"/>
      <c r="DUN46" s="198"/>
      <c r="DUO46" s="827"/>
      <c r="DUP46" s="198"/>
      <c r="DUQ46" s="826"/>
      <c r="DUR46" s="1437"/>
      <c r="DUS46" s="1438"/>
      <c r="DUT46" s="198"/>
      <c r="DUU46" s="198"/>
      <c r="DUV46" s="198"/>
      <c r="DUW46" s="198"/>
      <c r="DUX46" s="198"/>
      <c r="DUY46" s="198"/>
      <c r="DUZ46" s="827"/>
      <c r="DVA46" s="198"/>
      <c r="DVB46" s="826"/>
      <c r="DVC46" s="1437"/>
      <c r="DVD46" s="1438"/>
      <c r="DVE46" s="198"/>
      <c r="DVF46" s="198"/>
      <c r="DVG46" s="198"/>
      <c r="DVH46" s="198"/>
      <c r="DVI46" s="198"/>
      <c r="DVJ46" s="198"/>
      <c r="DVK46" s="827"/>
      <c r="DVL46" s="198"/>
      <c r="DVM46" s="826"/>
      <c r="DVN46" s="1437"/>
      <c r="DVO46" s="1438"/>
      <c r="DVP46" s="198"/>
      <c r="DVQ46" s="198"/>
      <c r="DVR46" s="198"/>
      <c r="DVS46" s="198"/>
      <c r="DVT46" s="198"/>
      <c r="DVU46" s="198"/>
      <c r="DVV46" s="827"/>
      <c r="DVW46" s="198"/>
      <c r="DVX46" s="826"/>
      <c r="DVY46" s="1437"/>
      <c r="DVZ46" s="1438"/>
      <c r="DWA46" s="198"/>
      <c r="DWB46" s="198"/>
      <c r="DWC46" s="198"/>
      <c r="DWD46" s="198"/>
      <c r="DWE46" s="198"/>
      <c r="DWF46" s="198"/>
      <c r="DWG46" s="827"/>
      <c r="DWH46" s="198"/>
      <c r="DWI46" s="826"/>
      <c r="DWJ46" s="1437"/>
      <c r="DWK46" s="1438"/>
      <c r="DWL46" s="198"/>
      <c r="DWM46" s="198"/>
      <c r="DWN46" s="198"/>
      <c r="DWO46" s="198"/>
      <c r="DWP46" s="198"/>
      <c r="DWQ46" s="198"/>
      <c r="DWR46" s="827"/>
      <c r="DWS46" s="198"/>
      <c r="DWT46" s="826"/>
      <c r="DWU46" s="1437"/>
      <c r="DWV46" s="1438"/>
      <c r="DWW46" s="198"/>
      <c r="DWX46" s="198"/>
      <c r="DWY46" s="198"/>
      <c r="DWZ46" s="198"/>
      <c r="DXA46" s="198"/>
      <c r="DXB46" s="198"/>
      <c r="DXC46" s="827"/>
      <c r="DXD46" s="198"/>
      <c r="DXE46" s="826"/>
      <c r="DXF46" s="1437"/>
      <c r="DXG46" s="1438"/>
      <c r="DXH46" s="198"/>
      <c r="DXI46" s="198"/>
      <c r="DXJ46" s="198"/>
      <c r="DXK46" s="198"/>
      <c r="DXL46" s="198"/>
      <c r="DXM46" s="198"/>
      <c r="DXN46" s="827"/>
      <c r="DXO46" s="198"/>
      <c r="DXP46" s="826"/>
      <c r="DXQ46" s="1437"/>
      <c r="DXR46" s="1438"/>
      <c r="DXS46" s="198"/>
      <c r="DXT46" s="198"/>
      <c r="DXU46" s="198"/>
      <c r="DXV46" s="198"/>
      <c r="DXW46" s="198"/>
      <c r="DXX46" s="198"/>
      <c r="DXY46" s="827"/>
      <c r="DXZ46" s="198"/>
      <c r="DYA46" s="826"/>
      <c r="DYB46" s="1437"/>
      <c r="DYC46" s="1438"/>
      <c r="DYD46" s="198"/>
      <c r="DYE46" s="198"/>
      <c r="DYF46" s="198"/>
      <c r="DYG46" s="198"/>
      <c r="DYH46" s="198"/>
      <c r="DYI46" s="198"/>
      <c r="DYJ46" s="827"/>
      <c r="DYK46" s="198"/>
      <c r="DYL46" s="826"/>
      <c r="DYM46" s="1437"/>
      <c r="DYN46" s="1438"/>
      <c r="DYO46" s="198"/>
      <c r="DYP46" s="198"/>
      <c r="DYQ46" s="198"/>
      <c r="DYR46" s="198"/>
      <c r="DYS46" s="198"/>
      <c r="DYT46" s="198"/>
      <c r="DYU46" s="827"/>
      <c r="DYV46" s="198"/>
      <c r="DYW46" s="826"/>
      <c r="DYX46" s="1437"/>
      <c r="DYY46" s="1438"/>
      <c r="DYZ46" s="198"/>
      <c r="DZA46" s="198"/>
      <c r="DZB46" s="198"/>
      <c r="DZC46" s="198"/>
      <c r="DZD46" s="198"/>
      <c r="DZE46" s="198"/>
      <c r="DZF46" s="827"/>
      <c r="DZG46" s="198"/>
      <c r="DZH46" s="826"/>
      <c r="DZI46" s="1437"/>
      <c r="DZJ46" s="1438"/>
      <c r="DZK46" s="198"/>
      <c r="DZL46" s="198"/>
      <c r="DZM46" s="198"/>
      <c r="DZN46" s="198"/>
      <c r="DZO46" s="198"/>
      <c r="DZP46" s="198"/>
      <c r="DZQ46" s="827"/>
      <c r="DZR46" s="198"/>
      <c r="DZS46" s="826"/>
      <c r="DZT46" s="1437"/>
      <c r="DZU46" s="1438"/>
      <c r="DZV46" s="198"/>
      <c r="DZW46" s="198"/>
      <c r="DZX46" s="198"/>
      <c r="DZY46" s="198"/>
      <c r="DZZ46" s="198"/>
      <c r="EAA46" s="198"/>
      <c r="EAB46" s="827"/>
      <c r="EAC46" s="198"/>
      <c r="EAD46" s="826"/>
      <c r="EAE46" s="1437"/>
      <c r="EAF46" s="1438"/>
      <c r="EAG46" s="198"/>
      <c r="EAH46" s="198"/>
      <c r="EAI46" s="198"/>
      <c r="EAJ46" s="198"/>
      <c r="EAK46" s="198"/>
      <c r="EAL46" s="198"/>
      <c r="EAM46" s="827"/>
      <c r="EAN46" s="198"/>
      <c r="EAO46" s="826"/>
      <c r="EAP46" s="1437"/>
      <c r="EAQ46" s="1438"/>
      <c r="EAR46" s="198"/>
      <c r="EAS46" s="198"/>
      <c r="EAT46" s="198"/>
      <c r="EAU46" s="198"/>
      <c r="EAV46" s="198"/>
      <c r="EAW46" s="198"/>
      <c r="EAX46" s="827"/>
      <c r="EAY46" s="198"/>
      <c r="EAZ46" s="826"/>
      <c r="EBA46" s="1437"/>
      <c r="EBB46" s="1438"/>
      <c r="EBC46" s="198"/>
      <c r="EBD46" s="198"/>
      <c r="EBE46" s="198"/>
      <c r="EBF46" s="198"/>
      <c r="EBG46" s="198"/>
      <c r="EBH46" s="198"/>
      <c r="EBI46" s="827"/>
      <c r="EBJ46" s="198"/>
      <c r="EBK46" s="826"/>
      <c r="EBL46" s="1437"/>
      <c r="EBM46" s="1438"/>
      <c r="EBN46" s="198"/>
      <c r="EBO46" s="198"/>
      <c r="EBP46" s="198"/>
      <c r="EBQ46" s="198"/>
      <c r="EBR46" s="198"/>
      <c r="EBS46" s="198"/>
      <c r="EBT46" s="827"/>
      <c r="EBU46" s="198"/>
      <c r="EBV46" s="826"/>
      <c r="EBW46" s="1437"/>
      <c r="EBX46" s="1438"/>
      <c r="EBY46" s="198"/>
      <c r="EBZ46" s="198"/>
      <c r="ECA46" s="198"/>
      <c r="ECB46" s="198"/>
      <c r="ECC46" s="198"/>
      <c r="ECD46" s="198"/>
      <c r="ECE46" s="827"/>
      <c r="ECF46" s="198"/>
      <c r="ECG46" s="826"/>
      <c r="ECH46" s="1437"/>
      <c r="ECI46" s="1438"/>
      <c r="ECJ46" s="198"/>
      <c r="ECK46" s="198"/>
      <c r="ECL46" s="198"/>
      <c r="ECM46" s="198"/>
      <c r="ECN46" s="198"/>
      <c r="ECO46" s="198"/>
      <c r="ECP46" s="827"/>
      <c r="ECQ46" s="198"/>
      <c r="ECR46" s="826"/>
      <c r="ECS46" s="1437"/>
      <c r="ECT46" s="1438"/>
      <c r="ECU46" s="198"/>
      <c r="ECV46" s="198"/>
      <c r="ECW46" s="198"/>
      <c r="ECX46" s="198"/>
      <c r="ECY46" s="198"/>
      <c r="ECZ46" s="198"/>
      <c r="EDA46" s="827"/>
      <c r="EDB46" s="198"/>
      <c r="EDC46" s="826"/>
      <c r="EDD46" s="1437"/>
      <c r="EDE46" s="1438"/>
      <c r="EDF46" s="198"/>
      <c r="EDG46" s="198"/>
      <c r="EDH46" s="198"/>
      <c r="EDI46" s="198"/>
      <c r="EDJ46" s="198"/>
      <c r="EDK46" s="198"/>
      <c r="EDL46" s="827"/>
      <c r="EDM46" s="198"/>
      <c r="EDN46" s="826"/>
      <c r="EDO46" s="1437"/>
      <c r="EDP46" s="1438"/>
      <c r="EDQ46" s="198"/>
      <c r="EDR46" s="198"/>
      <c r="EDS46" s="198"/>
      <c r="EDT46" s="198"/>
      <c r="EDU46" s="198"/>
      <c r="EDV46" s="198"/>
      <c r="EDW46" s="827"/>
      <c r="EDX46" s="198"/>
      <c r="EDY46" s="826"/>
      <c r="EDZ46" s="1437"/>
      <c r="EEA46" s="1438"/>
      <c r="EEB46" s="198"/>
      <c r="EEC46" s="198"/>
      <c r="EED46" s="198"/>
      <c r="EEE46" s="198"/>
      <c r="EEF46" s="198"/>
      <c r="EEG46" s="198"/>
      <c r="EEH46" s="827"/>
      <c r="EEI46" s="198"/>
      <c r="EEJ46" s="826"/>
      <c r="EEK46" s="1437"/>
      <c r="EEL46" s="1438"/>
      <c r="EEM46" s="198"/>
      <c r="EEN46" s="198"/>
      <c r="EEO46" s="198"/>
      <c r="EEP46" s="198"/>
      <c r="EEQ46" s="198"/>
      <c r="EER46" s="198"/>
      <c r="EES46" s="827"/>
      <c r="EET46" s="198"/>
      <c r="EEU46" s="826"/>
      <c r="EEV46" s="1437"/>
      <c r="EEW46" s="1438"/>
      <c r="EEX46" s="198"/>
      <c r="EEY46" s="198"/>
      <c r="EEZ46" s="198"/>
      <c r="EFA46" s="198"/>
      <c r="EFB46" s="198"/>
      <c r="EFC46" s="198"/>
      <c r="EFD46" s="827"/>
      <c r="EFE46" s="198"/>
      <c r="EFF46" s="826"/>
      <c r="EFG46" s="1437"/>
      <c r="EFH46" s="1438"/>
      <c r="EFI46" s="198"/>
      <c r="EFJ46" s="198"/>
      <c r="EFK46" s="198"/>
      <c r="EFL46" s="198"/>
      <c r="EFM46" s="198"/>
      <c r="EFN46" s="198"/>
      <c r="EFO46" s="827"/>
      <c r="EFP46" s="198"/>
      <c r="EFQ46" s="826"/>
      <c r="EFR46" s="1437"/>
      <c r="EFS46" s="1438"/>
      <c r="EFT46" s="198"/>
      <c r="EFU46" s="198"/>
      <c r="EFV46" s="198"/>
      <c r="EFW46" s="198"/>
      <c r="EFX46" s="198"/>
      <c r="EFY46" s="198"/>
      <c r="EFZ46" s="827"/>
      <c r="EGA46" s="198"/>
      <c r="EGB46" s="826"/>
      <c r="EGC46" s="1437"/>
      <c r="EGD46" s="1438"/>
      <c r="EGE46" s="198"/>
      <c r="EGF46" s="198"/>
      <c r="EGG46" s="198"/>
      <c r="EGH46" s="198"/>
      <c r="EGI46" s="198"/>
      <c r="EGJ46" s="198"/>
      <c r="EGK46" s="827"/>
      <c r="EGL46" s="198"/>
      <c r="EGM46" s="826"/>
      <c r="EGN46" s="1437"/>
      <c r="EGO46" s="1438"/>
      <c r="EGP46" s="198"/>
      <c r="EGQ46" s="198"/>
      <c r="EGR46" s="198"/>
      <c r="EGS46" s="198"/>
      <c r="EGT46" s="198"/>
      <c r="EGU46" s="198"/>
      <c r="EGV46" s="827"/>
      <c r="EGW46" s="198"/>
      <c r="EGX46" s="826"/>
      <c r="EGY46" s="1437"/>
      <c r="EGZ46" s="1438"/>
      <c r="EHA46" s="198"/>
      <c r="EHB46" s="198"/>
      <c r="EHC46" s="198"/>
      <c r="EHD46" s="198"/>
      <c r="EHE46" s="198"/>
      <c r="EHF46" s="198"/>
      <c r="EHG46" s="827"/>
      <c r="EHH46" s="198"/>
      <c r="EHI46" s="826"/>
      <c r="EHJ46" s="1437"/>
      <c r="EHK46" s="1438"/>
      <c r="EHL46" s="198"/>
      <c r="EHM46" s="198"/>
      <c r="EHN46" s="198"/>
      <c r="EHO46" s="198"/>
      <c r="EHP46" s="198"/>
      <c r="EHQ46" s="198"/>
      <c r="EHR46" s="827"/>
      <c r="EHS46" s="198"/>
      <c r="EHT46" s="826"/>
      <c r="EHU46" s="1437"/>
      <c r="EHV46" s="1438"/>
      <c r="EHW46" s="198"/>
      <c r="EHX46" s="198"/>
      <c r="EHY46" s="198"/>
      <c r="EHZ46" s="198"/>
      <c r="EIA46" s="198"/>
      <c r="EIB46" s="198"/>
      <c r="EIC46" s="827"/>
      <c r="EID46" s="198"/>
      <c r="EIE46" s="826"/>
      <c r="EIF46" s="1437"/>
      <c r="EIG46" s="1438"/>
      <c r="EIH46" s="198"/>
      <c r="EII46" s="198"/>
      <c r="EIJ46" s="198"/>
      <c r="EIK46" s="198"/>
      <c r="EIL46" s="198"/>
      <c r="EIM46" s="198"/>
      <c r="EIN46" s="827"/>
      <c r="EIO46" s="198"/>
      <c r="EIP46" s="826"/>
      <c r="EIQ46" s="1437"/>
      <c r="EIR46" s="1438"/>
      <c r="EIS46" s="198"/>
      <c r="EIT46" s="198"/>
      <c r="EIU46" s="198"/>
      <c r="EIV46" s="198"/>
      <c r="EIW46" s="198"/>
      <c r="EIX46" s="198"/>
      <c r="EIY46" s="827"/>
      <c r="EIZ46" s="198"/>
      <c r="EJA46" s="826"/>
      <c r="EJB46" s="1437"/>
      <c r="EJC46" s="1438"/>
      <c r="EJD46" s="198"/>
      <c r="EJE46" s="198"/>
      <c r="EJF46" s="198"/>
      <c r="EJG46" s="198"/>
      <c r="EJH46" s="198"/>
      <c r="EJI46" s="198"/>
      <c r="EJJ46" s="827"/>
      <c r="EJK46" s="198"/>
      <c r="EJL46" s="826"/>
      <c r="EJM46" s="1437"/>
      <c r="EJN46" s="1438"/>
      <c r="EJO46" s="198"/>
      <c r="EJP46" s="198"/>
      <c r="EJQ46" s="198"/>
      <c r="EJR46" s="198"/>
      <c r="EJS46" s="198"/>
      <c r="EJT46" s="198"/>
      <c r="EJU46" s="827"/>
      <c r="EJV46" s="198"/>
      <c r="EJW46" s="826"/>
      <c r="EJX46" s="1437"/>
      <c r="EJY46" s="1438"/>
      <c r="EJZ46" s="198"/>
      <c r="EKA46" s="198"/>
      <c r="EKB46" s="198"/>
      <c r="EKC46" s="198"/>
      <c r="EKD46" s="198"/>
      <c r="EKE46" s="198"/>
      <c r="EKF46" s="827"/>
      <c r="EKG46" s="198"/>
      <c r="EKH46" s="826"/>
      <c r="EKI46" s="1437"/>
      <c r="EKJ46" s="1438"/>
      <c r="EKK46" s="198"/>
      <c r="EKL46" s="198"/>
      <c r="EKM46" s="198"/>
      <c r="EKN46" s="198"/>
      <c r="EKO46" s="198"/>
      <c r="EKP46" s="198"/>
      <c r="EKQ46" s="827"/>
      <c r="EKR46" s="198"/>
      <c r="EKS46" s="826"/>
      <c r="EKT46" s="1437"/>
      <c r="EKU46" s="1438"/>
      <c r="EKV46" s="198"/>
      <c r="EKW46" s="198"/>
      <c r="EKX46" s="198"/>
      <c r="EKY46" s="198"/>
      <c r="EKZ46" s="198"/>
      <c r="ELA46" s="198"/>
      <c r="ELB46" s="827"/>
      <c r="ELC46" s="198"/>
      <c r="ELD46" s="826"/>
      <c r="ELE46" s="1437"/>
      <c r="ELF46" s="1438"/>
      <c r="ELG46" s="198"/>
      <c r="ELH46" s="198"/>
      <c r="ELI46" s="198"/>
      <c r="ELJ46" s="198"/>
      <c r="ELK46" s="198"/>
      <c r="ELL46" s="198"/>
      <c r="ELM46" s="827"/>
      <c r="ELN46" s="198"/>
      <c r="ELO46" s="826"/>
      <c r="ELP46" s="1437"/>
      <c r="ELQ46" s="1438"/>
      <c r="ELR46" s="198"/>
      <c r="ELS46" s="198"/>
      <c r="ELT46" s="198"/>
      <c r="ELU46" s="198"/>
      <c r="ELV46" s="198"/>
      <c r="ELW46" s="198"/>
      <c r="ELX46" s="827"/>
      <c r="ELY46" s="198"/>
      <c r="ELZ46" s="826"/>
      <c r="EMA46" s="1437"/>
      <c r="EMB46" s="1438"/>
      <c r="EMC46" s="198"/>
      <c r="EMD46" s="198"/>
      <c r="EME46" s="198"/>
      <c r="EMF46" s="198"/>
      <c r="EMG46" s="198"/>
      <c r="EMH46" s="198"/>
      <c r="EMI46" s="827"/>
      <c r="EMJ46" s="198"/>
      <c r="EMK46" s="826"/>
      <c r="EML46" s="1437"/>
      <c r="EMM46" s="1438"/>
      <c r="EMN46" s="198"/>
      <c r="EMO46" s="198"/>
      <c r="EMP46" s="198"/>
      <c r="EMQ46" s="198"/>
      <c r="EMR46" s="198"/>
      <c r="EMS46" s="198"/>
      <c r="EMT46" s="827"/>
      <c r="EMU46" s="198"/>
      <c r="EMV46" s="826"/>
      <c r="EMW46" s="1437"/>
      <c r="EMX46" s="1438"/>
      <c r="EMY46" s="198"/>
      <c r="EMZ46" s="198"/>
      <c r="ENA46" s="198"/>
      <c r="ENB46" s="198"/>
      <c r="ENC46" s="198"/>
      <c r="END46" s="198"/>
      <c r="ENE46" s="827"/>
      <c r="ENF46" s="198"/>
      <c r="ENG46" s="826"/>
      <c r="ENH46" s="1437"/>
      <c r="ENI46" s="1438"/>
      <c r="ENJ46" s="198"/>
      <c r="ENK46" s="198"/>
      <c r="ENL46" s="198"/>
      <c r="ENM46" s="198"/>
      <c r="ENN46" s="198"/>
      <c r="ENO46" s="198"/>
      <c r="ENP46" s="827"/>
      <c r="ENQ46" s="198"/>
      <c r="ENR46" s="826"/>
      <c r="ENS46" s="1437"/>
      <c r="ENT46" s="1438"/>
      <c r="ENU46" s="198"/>
      <c r="ENV46" s="198"/>
      <c r="ENW46" s="198"/>
      <c r="ENX46" s="198"/>
      <c r="ENY46" s="198"/>
      <c r="ENZ46" s="198"/>
      <c r="EOA46" s="827"/>
      <c r="EOB46" s="198"/>
      <c r="EOC46" s="826"/>
      <c r="EOD46" s="1437"/>
      <c r="EOE46" s="1438"/>
      <c r="EOF46" s="198"/>
      <c r="EOG46" s="198"/>
      <c r="EOH46" s="198"/>
      <c r="EOI46" s="198"/>
      <c r="EOJ46" s="198"/>
      <c r="EOK46" s="198"/>
      <c r="EOL46" s="827"/>
      <c r="EOM46" s="198"/>
      <c r="EON46" s="826"/>
      <c r="EOO46" s="1437"/>
      <c r="EOP46" s="1438"/>
      <c r="EOQ46" s="198"/>
      <c r="EOR46" s="198"/>
      <c r="EOS46" s="198"/>
      <c r="EOT46" s="198"/>
      <c r="EOU46" s="198"/>
      <c r="EOV46" s="198"/>
      <c r="EOW46" s="827"/>
      <c r="EOX46" s="198"/>
      <c r="EOY46" s="826"/>
      <c r="EOZ46" s="1437"/>
      <c r="EPA46" s="1438"/>
      <c r="EPB46" s="198"/>
      <c r="EPC46" s="198"/>
      <c r="EPD46" s="198"/>
      <c r="EPE46" s="198"/>
      <c r="EPF46" s="198"/>
      <c r="EPG46" s="198"/>
      <c r="EPH46" s="827"/>
      <c r="EPI46" s="198"/>
      <c r="EPJ46" s="826"/>
      <c r="EPK46" s="1437"/>
      <c r="EPL46" s="1438"/>
      <c r="EPM46" s="198"/>
      <c r="EPN46" s="198"/>
      <c r="EPO46" s="198"/>
      <c r="EPP46" s="198"/>
      <c r="EPQ46" s="198"/>
      <c r="EPR46" s="198"/>
      <c r="EPS46" s="827"/>
      <c r="EPT46" s="198"/>
      <c r="EPU46" s="826"/>
      <c r="EPV46" s="1437"/>
      <c r="EPW46" s="1438"/>
      <c r="EPX46" s="198"/>
      <c r="EPY46" s="198"/>
      <c r="EPZ46" s="198"/>
      <c r="EQA46" s="198"/>
      <c r="EQB46" s="198"/>
      <c r="EQC46" s="198"/>
      <c r="EQD46" s="827"/>
      <c r="EQE46" s="198"/>
      <c r="EQF46" s="826"/>
      <c r="EQG46" s="1437"/>
      <c r="EQH46" s="1438"/>
      <c r="EQI46" s="198"/>
      <c r="EQJ46" s="198"/>
      <c r="EQK46" s="198"/>
      <c r="EQL46" s="198"/>
      <c r="EQM46" s="198"/>
      <c r="EQN46" s="198"/>
      <c r="EQO46" s="827"/>
      <c r="EQP46" s="198"/>
      <c r="EQQ46" s="826"/>
      <c r="EQR46" s="1437"/>
      <c r="EQS46" s="1438"/>
      <c r="EQT46" s="198"/>
      <c r="EQU46" s="198"/>
      <c r="EQV46" s="198"/>
      <c r="EQW46" s="198"/>
      <c r="EQX46" s="198"/>
      <c r="EQY46" s="198"/>
      <c r="EQZ46" s="827"/>
      <c r="ERA46" s="198"/>
      <c r="ERB46" s="826"/>
      <c r="ERC46" s="1437"/>
      <c r="ERD46" s="1438"/>
      <c r="ERE46" s="198"/>
      <c r="ERF46" s="198"/>
      <c r="ERG46" s="198"/>
      <c r="ERH46" s="198"/>
      <c r="ERI46" s="198"/>
      <c r="ERJ46" s="198"/>
      <c r="ERK46" s="827"/>
      <c r="ERL46" s="198"/>
      <c r="ERM46" s="826"/>
      <c r="ERN46" s="1437"/>
      <c r="ERO46" s="1438"/>
      <c r="ERP46" s="198"/>
      <c r="ERQ46" s="198"/>
      <c r="ERR46" s="198"/>
      <c r="ERS46" s="198"/>
      <c r="ERT46" s="198"/>
      <c r="ERU46" s="198"/>
      <c r="ERV46" s="827"/>
      <c r="ERW46" s="198"/>
      <c r="ERX46" s="826"/>
      <c r="ERY46" s="1437"/>
      <c r="ERZ46" s="1438"/>
      <c r="ESA46" s="198"/>
      <c r="ESB46" s="198"/>
      <c r="ESC46" s="198"/>
      <c r="ESD46" s="198"/>
      <c r="ESE46" s="198"/>
      <c r="ESF46" s="198"/>
      <c r="ESG46" s="827"/>
      <c r="ESH46" s="198"/>
      <c r="ESI46" s="826"/>
      <c r="ESJ46" s="1437"/>
      <c r="ESK46" s="1438"/>
      <c r="ESL46" s="198"/>
      <c r="ESM46" s="198"/>
      <c r="ESN46" s="198"/>
      <c r="ESO46" s="198"/>
      <c r="ESP46" s="198"/>
      <c r="ESQ46" s="198"/>
      <c r="ESR46" s="827"/>
      <c r="ESS46" s="198"/>
      <c r="EST46" s="826"/>
      <c r="ESU46" s="1437"/>
      <c r="ESV46" s="1438"/>
      <c r="ESW46" s="198"/>
      <c r="ESX46" s="198"/>
      <c r="ESY46" s="198"/>
      <c r="ESZ46" s="198"/>
      <c r="ETA46" s="198"/>
      <c r="ETB46" s="198"/>
      <c r="ETC46" s="827"/>
      <c r="ETD46" s="198"/>
      <c r="ETE46" s="826"/>
      <c r="ETF46" s="1437"/>
      <c r="ETG46" s="1438"/>
      <c r="ETH46" s="198"/>
      <c r="ETI46" s="198"/>
      <c r="ETJ46" s="198"/>
      <c r="ETK46" s="198"/>
      <c r="ETL46" s="198"/>
      <c r="ETM46" s="198"/>
      <c r="ETN46" s="827"/>
      <c r="ETO46" s="198"/>
      <c r="ETP46" s="826"/>
      <c r="ETQ46" s="1437"/>
      <c r="ETR46" s="1438"/>
      <c r="ETS46" s="198"/>
      <c r="ETT46" s="198"/>
      <c r="ETU46" s="198"/>
      <c r="ETV46" s="198"/>
      <c r="ETW46" s="198"/>
      <c r="ETX46" s="198"/>
      <c r="ETY46" s="827"/>
      <c r="ETZ46" s="198"/>
      <c r="EUA46" s="826"/>
      <c r="EUB46" s="1437"/>
      <c r="EUC46" s="1438"/>
      <c r="EUD46" s="198"/>
      <c r="EUE46" s="198"/>
      <c r="EUF46" s="198"/>
      <c r="EUG46" s="198"/>
      <c r="EUH46" s="198"/>
      <c r="EUI46" s="198"/>
      <c r="EUJ46" s="827"/>
      <c r="EUK46" s="198"/>
      <c r="EUL46" s="826"/>
      <c r="EUM46" s="1437"/>
      <c r="EUN46" s="1438"/>
      <c r="EUO46" s="198"/>
      <c r="EUP46" s="198"/>
      <c r="EUQ46" s="198"/>
      <c r="EUR46" s="198"/>
      <c r="EUS46" s="198"/>
      <c r="EUT46" s="198"/>
      <c r="EUU46" s="827"/>
      <c r="EUV46" s="198"/>
      <c r="EUW46" s="826"/>
      <c r="EUX46" s="1437"/>
      <c r="EUY46" s="1438"/>
      <c r="EUZ46" s="198"/>
      <c r="EVA46" s="198"/>
      <c r="EVB46" s="198"/>
      <c r="EVC46" s="198"/>
      <c r="EVD46" s="198"/>
      <c r="EVE46" s="198"/>
      <c r="EVF46" s="827"/>
      <c r="EVG46" s="198"/>
      <c r="EVH46" s="826"/>
      <c r="EVI46" s="1437"/>
      <c r="EVJ46" s="1438"/>
      <c r="EVK46" s="198"/>
      <c r="EVL46" s="198"/>
      <c r="EVM46" s="198"/>
      <c r="EVN46" s="198"/>
      <c r="EVO46" s="198"/>
      <c r="EVP46" s="198"/>
      <c r="EVQ46" s="827"/>
      <c r="EVR46" s="198"/>
      <c r="EVS46" s="826"/>
      <c r="EVT46" s="1437"/>
      <c r="EVU46" s="1438"/>
      <c r="EVV46" s="198"/>
      <c r="EVW46" s="198"/>
      <c r="EVX46" s="198"/>
      <c r="EVY46" s="198"/>
      <c r="EVZ46" s="198"/>
      <c r="EWA46" s="198"/>
      <c r="EWB46" s="827"/>
      <c r="EWC46" s="198"/>
      <c r="EWD46" s="826"/>
      <c r="EWE46" s="1437"/>
      <c r="EWF46" s="1438"/>
      <c r="EWG46" s="198"/>
      <c r="EWH46" s="198"/>
      <c r="EWI46" s="198"/>
      <c r="EWJ46" s="198"/>
      <c r="EWK46" s="198"/>
      <c r="EWL46" s="198"/>
      <c r="EWM46" s="827"/>
      <c r="EWN46" s="198"/>
      <c r="EWO46" s="826"/>
      <c r="EWP46" s="1437"/>
      <c r="EWQ46" s="1438"/>
      <c r="EWR46" s="198"/>
      <c r="EWS46" s="198"/>
      <c r="EWT46" s="198"/>
      <c r="EWU46" s="198"/>
      <c r="EWV46" s="198"/>
      <c r="EWW46" s="198"/>
      <c r="EWX46" s="827"/>
      <c r="EWY46" s="198"/>
      <c r="EWZ46" s="826"/>
      <c r="EXA46" s="1437"/>
      <c r="EXB46" s="1438"/>
      <c r="EXC46" s="198"/>
      <c r="EXD46" s="198"/>
      <c r="EXE46" s="198"/>
      <c r="EXF46" s="198"/>
      <c r="EXG46" s="198"/>
      <c r="EXH46" s="198"/>
      <c r="EXI46" s="827"/>
      <c r="EXJ46" s="198"/>
      <c r="EXK46" s="826"/>
      <c r="EXL46" s="1437"/>
      <c r="EXM46" s="1438"/>
      <c r="EXN46" s="198"/>
      <c r="EXO46" s="198"/>
      <c r="EXP46" s="198"/>
      <c r="EXQ46" s="198"/>
      <c r="EXR46" s="198"/>
      <c r="EXS46" s="198"/>
      <c r="EXT46" s="827"/>
      <c r="EXU46" s="198"/>
      <c r="EXV46" s="826"/>
      <c r="EXW46" s="1437"/>
      <c r="EXX46" s="1438"/>
      <c r="EXY46" s="198"/>
      <c r="EXZ46" s="198"/>
      <c r="EYA46" s="198"/>
      <c r="EYB46" s="198"/>
      <c r="EYC46" s="198"/>
      <c r="EYD46" s="198"/>
      <c r="EYE46" s="827"/>
      <c r="EYF46" s="198"/>
      <c r="EYG46" s="826"/>
      <c r="EYH46" s="1437"/>
      <c r="EYI46" s="1438"/>
      <c r="EYJ46" s="198"/>
      <c r="EYK46" s="198"/>
      <c r="EYL46" s="198"/>
      <c r="EYM46" s="198"/>
      <c r="EYN46" s="198"/>
      <c r="EYO46" s="198"/>
      <c r="EYP46" s="827"/>
      <c r="EYQ46" s="198"/>
      <c r="EYR46" s="826"/>
      <c r="EYS46" s="1437"/>
      <c r="EYT46" s="1438"/>
      <c r="EYU46" s="198"/>
      <c r="EYV46" s="198"/>
      <c r="EYW46" s="198"/>
      <c r="EYX46" s="198"/>
      <c r="EYY46" s="198"/>
      <c r="EYZ46" s="198"/>
      <c r="EZA46" s="827"/>
      <c r="EZB46" s="198"/>
      <c r="EZC46" s="826"/>
      <c r="EZD46" s="1437"/>
      <c r="EZE46" s="1438"/>
      <c r="EZF46" s="198"/>
      <c r="EZG46" s="198"/>
      <c r="EZH46" s="198"/>
      <c r="EZI46" s="198"/>
      <c r="EZJ46" s="198"/>
      <c r="EZK46" s="198"/>
      <c r="EZL46" s="827"/>
      <c r="EZM46" s="198"/>
      <c r="EZN46" s="826"/>
      <c r="EZO46" s="1437"/>
      <c r="EZP46" s="1438"/>
      <c r="EZQ46" s="198"/>
      <c r="EZR46" s="198"/>
      <c r="EZS46" s="198"/>
      <c r="EZT46" s="198"/>
      <c r="EZU46" s="198"/>
      <c r="EZV46" s="198"/>
      <c r="EZW46" s="827"/>
      <c r="EZX46" s="198"/>
      <c r="EZY46" s="826"/>
      <c r="EZZ46" s="1437"/>
      <c r="FAA46" s="1438"/>
      <c r="FAB46" s="198"/>
      <c r="FAC46" s="198"/>
      <c r="FAD46" s="198"/>
      <c r="FAE46" s="198"/>
      <c r="FAF46" s="198"/>
      <c r="FAG46" s="198"/>
      <c r="FAH46" s="827"/>
      <c r="FAI46" s="198"/>
      <c r="FAJ46" s="826"/>
      <c r="FAK46" s="1437"/>
      <c r="FAL46" s="1438"/>
      <c r="FAM46" s="198"/>
      <c r="FAN46" s="198"/>
      <c r="FAO46" s="198"/>
      <c r="FAP46" s="198"/>
      <c r="FAQ46" s="198"/>
      <c r="FAR46" s="198"/>
      <c r="FAS46" s="827"/>
      <c r="FAT46" s="198"/>
      <c r="FAU46" s="826"/>
      <c r="FAV46" s="1437"/>
      <c r="FAW46" s="1438"/>
      <c r="FAX46" s="198"/>
      <c r="FAY46" s="198"/>
      <c r="FAZ46" s="198"/>
      <c r="FBA46" s="198"/>
      <c r="FBB46" s="198"/>
      <c r="FBC46" s="198"/>
      <c r="FBD46" s="827"/>
      <c r="FBE46" s="198"/>
      <c r="FBF46" s="826"/>
      <c r="FBG46" s="1437"/>
      <c r="FBH46" s="1438"/>
      <c r="FBI46" s="198"/>
      <c r="FBJ46" s="198"/>
      <c r="FBK46" s="198"/>
      <c r="FBL46" s="198"/>
      <c r="FBM46" s="198"/>
      <c r="FBN46" s="198"/>
      <c r="FBO46" s="827"/>
      <c r="FBP46" s="198"/>
      <c r="FBQ46" s="826"/>
      <c r="FBR46" s="1437"/>
      <c r="FBS46" s="1438"/>
      <c r="FBT46" s="198"/>
      <c r="FBU46" s="198"/>
      <c r="FBV46" s="198"/>
      <c r="FBW46" s="198"/>
      <c r="FBX46" s="198"/>
      <c r="FBY46" s="198"/>
      <c r="FBZ46" s="827"/>
      <c r="FCA46" s="198"/>
      <c r="FCB46" s="826"/>
      <c r="FCC46" s="1437"/>
      <c r="FCD46" s="1438"/>
      <c r="FCE46" s="198"/>
      <c r="FCF46" s="198"/>
      <c r="FCG46" s="198"/>
      <c r="FCH46" s="198"/>
      <c r="FCI46" s="198"/>
      <c r="FCJ46" s="198"/>
      <c r="FCK46" s="827"/>
      <c r="FCL46" s="198"/>
      <c r="FCM46" s="826"/>
      <c r="FCN46" s="1437"/>
      <c r="FCO46" s="1438"/>
      <c r="FCP46" s="198"/>
      <c r="FCQ46" s="198"/>
      <c r="FCR46" s="198"/>
      <c r="FCS46" s="198"/>
      <c r="FCT46" s="198"/>
      <c r="FCU46" s="198"/>
      <c r="FCV46" s="827"/>
      <c r="FCW46" s="198"/>
      <c r="FCX46" s="826"/>
      <c r="FCY46" s="1437"/>
      <c r="FCZ46" s="1438"/>
      <c r="FDA46" s="198"/>
      <c r="FDB46" s="198"/>
      <c r="FDC46" s="198"/>
      <c r="FDD46" s="198"/>
      <c r="FDE46" s="198"/>
      <c r="FDF46" s="198"/>
      <c r="FDG46" s="827"/>
      <c r="FDH46" s="198"/>
      <c r="FDI46" s="826"/>
      <c r="FDJ46" s="1437"/>
      <c r="FDK46" s="1438"/>
      <c r="FDL46" s="198"/>
      <c r="FDM46" s="198"/>
      <c r="FDN46" s="198"/>
      <c r="FDO46" s="198"/>
      <c r="FDP46" s="198"/>
      <c r="FDQ46" s="198"/>
      <c r="FDR46" s="827"/>
      <c r="FDS46" s="198"/>
      <c r="FDT46" s="826"/>
      <c r="FDU46" s="1437"/>
      <c r="FDV46" s="1438"/>
      <c r="FDW46" s="198"/>
      <c r="FDX46" s="198"/>
      <c r="FDY46" s="198"/>
      <c r="FDZ46" s="198"/>
      <c r="FEA46" s="198"/>
      <c r="FEB46" s="198"/>
      <c r="FEC46" s="827"/>
      <c r="FED46" s="198"/>
      <c r="FEE46" s="826"/>
      <c r="FEF46" s="1437"/>
      <c r="FEG46" s="1438"/>
      <c r="FEH46" s="198"/>
      <c r="FEI46" s="198"/>
      <c r="FEJ46" s="198"/>
      <c r="FEK46" s="198"/>
      <c r="FEL46" s="198"/>
      <c r="FEM46" s="198"/>
      <c r="FEN46" s="827"/>
      <c r="FEO46" s="198"/>
      <c r="FEP46" s="826"/>
      <c r="FEQ46" s="1437"/>
      <c r="FER46" s="1438"/>
      <c r="FES46" s="198"/>
      <c r="FET46" s="198"/>
      <c r="FEU46" s="198"/>
      <c r="FEV46" s="198"/>
      <c r="FEW46" s="198"/>
      <c r="FEX46" s="198"/>
      <c r="FEY46" s="827"/>
      <c r="FEZ46" s="198"/>
      <c r="FFA46" s="826"/>
      <c r="FFB46" s="1437"/>
      <c r="FFC46" s="1438"/>
      <c r="FFD46" s="198"/>
      <c r="FFE46" s="198"/>
      <c r="FFF46" s="198"/>
      <c r="FFG46" s="198"/>
      <c r="FFH46" s="198"/>
      <c r="FFI46" s="198"/>
      <c r="FFJ46" s="827"/>
      <c r="FFK46" s="198"/>
      <c r="FFL46" s="826"/>
      <c r="FFM46" s="1437"/>
      <c r="FFN46" s="1438"/>
      <c r="FFO46" s="198"/>
      <c r="FFP46" s="198"/>
      <c r="FFQ46" s="198"/>
      <c r="FFR46" s="198"/>
      <c r="FFS46" s="198"/>
      <c r="FFT46" s="198"/>
      <c r="FFU46" s="827"/>
      <c r="FFV46" s="198"/>
      <c r="FFW46" s="826"/>
      <c r="FFX46" s="1437"/>
      <c r="FFY46" s="1438"/>
      <c r="FFZ46" s="198"/>
      <c r="FGA46" s="198"/>
      <c r="FGB46" s="198"/>
      <c r="FGC46" s="198"/>
      <c r="FGD46" s="198"/>
      <c r="FGE46" s="198"/>
      <c r="FGF46" s="827"/>
      <c r="FGG46" s="198"/>
      <c r="FGH46" s="826"/>
      <c r="FGI46" s="1437"/>
      <c r="FGJ46" s="1438"/>
      <c r="FGK46" s="198"/>
      <c r="FGL46" s="198"/>
      <c r="FGM46" s="198"/>
      <c r="FGN46" s="198"/>
      <c r="FGO46" s="198"/>
      <c r="FGP46" s="198"/>
      <c r="FGQ46" s="827"/>
      <c r="FGR46" s="198"/>
      <c r="FGS46" s="826"/>
      <c r="FGT46" s="1437"/>
      <c r="FGU46" s="1438"/>
      <c r="FGV46" s="198"/>
      <c r="FGW46" s="198"/>
      <c r="FGX46" s="198"/>
      <c r="FGY46" s="198"/>
      <c r="FGZ46" s="198"/>
      <c r="FHA46" s="198"/>
      <c r="FHB46" s="827"/>
      <c r="FHC46" s="198"/>
      <c r="FHD46" s="826"/>
      <c r="FHE46" s="1437"/>
      <c r="FHF46" s="1438"/>
      <c r="FHG46" s="198"/>
      <c r="FHH46" s="198"/>
      <c r="FHI46" s="198"/>
      <c r="FHJ46" s="198"/>
      <c r="FHK46" s="198"/>
      <c r="FHL46" s="198"/>
      <c r="FHM46" s="827"/>
      <c r="FHN46" s="198"/>
      <c r="FHO46" s="826"/>
      <c r="FHP46" s="1437"/>
      <c r="FHQ46" s="1438"/>
      <c r="FHR46" s="198"/>
      <c r="FHS46" s="198"/>
      <c r="FHT46" s="198"/>
      <c r="FHU46" s="198"/>
      <c r="FHV46" s="198"/>
      <c r="FHW46" s="198"/>
      <c r="FHX46" s="827"/>
      <c r="FHY46" s="198"/>
      <c r="FHZ46" s="826"/>
      <c r="FIA46" s="1437"/>
      <c r="FIB46" s="1438"/>
      <c r="FIC46" s="198"/>
      <c r="FID46" s="198"/>
      <c r="FIE46" s="198"/>
      <c r="FIF46" s="198"/>
      <c r="FIG46" s="198"/>
      <c r="FIH46" s="198"/>
      <c r="FII46" s="827"/>
      <c r="FIJ46" s="198"/>
      <c r="FIK46" s="826"/>
      <c r="FIL46" s="1437"/>
      <c r="FIM46" s="1438"/>
      <c r="FIN46" s="198"/>
      <c r="FIO46" s="198"/>
      <c r="FIP46" s="198"/>
      <c r="FIQ46" s="198"/>
      <c r="FIR46" s="198"/>
      <c r="FIS46" s="198"/>
      <c r="FIT46" s="827"/>
      <c r="FIU46" s="198"/>
      <c r="FIV46" s="826"/>
      <c r="FIW46" s="1437"/>
      <c r="FIX46" s="1438"/>
      <c r="FIY46" s="198"/>
      <c r="FIZ46" s="198"/>
      <c r="FJA46" s="198"/>
      <c r="FJB46" s="198"/>
      <c r="FJC46" s="198"/>
      <c r="FJD46" s="198"/>
      <c r="FJE46" s="827"/>
      <c r="FJF46" s="198"/>
      <c r="FJG46" s="826"/>
      <c r="FJH46" s="1437"/>
      <c r="FJI46" s="1438"/>
      <c r="FJJ46" s="198"/>
      <c r="FJK46" s="198"/>
      <c r="FJL46" s="198"/>
      <c r="FJM46" s="198"/>
      <c r="FJN46" s="198"/>
      <c r="FJO46" s="198"/>
      <c r="FJP46" s="827"/>
      <c r="FJQ46" s="198"/>
      <c r="FJR46" s="826"/>
      <c r="FJS46" s="1437"/>
      <c r="FJT46" s="1438"/>
      <c r="FJU46" s="198"/>
      <c r="FJV46" s="198"/>
      <c r="FJW46" s="198"/>
      <c r="FJX46" s="198"/>
      <c r="FJY46" s="198"/>
      <c r="FJZ46" s="198"/>
      <c r="FKA46" s="827"/>
      <c r="FKB46" s="198"/>
      <c r="FKC46" s="826"/>
      <c r="FKD46" s="1437"/>
      <c r="FKE46" s="1438"/>
      <c r="FKF46" s="198"/>
      <c r="FKG46" s="198"/>
      <c r="FKH46" s="198"/>
      <c r="FKI46" s="198"/>
      <c r="FKJ46" s="198"/>
      <c r="FKK46" s="198"/>
      <c r="FKL46" s="827"/>
      <c r="FKM46" s="198"/>
      <c r="FKN46" s="826"/>
      <c r="FKO46" s="1437"/>
      <c r="FKP46" s="1438"/>
      <c r="FKQ46" s="198"/>
      <c r="FKR46" s="198"/>
      <c r="FKS46" s="198"/>
      <c r="FKT46" s="198"/>
      <c r="FKU46" s="198"/>
      <c r="FKV46" s="198"/>
      <c r="FKW46" s="827"/>
      <c r="FKX46" s="198"/>
      <c r="FKY46" s="826"/>
      <c r="FKZ46" s="1437"/>
      <c r="FLA46" s="1438"/>
      <c r="FLB46" s="198"/>
      <c r="FLC46" s="198"/>
      <c r="FLD46" s="198"/>
      <c r="FLE46" s="198"/>
      <c r="FLF46" s="198"/>
      <c r="FLG46" s="198"/>
      <c r="FLH46" s="827"/>
      <c r="FLI46" s="198"/>
      <c r="FLJ46" s="826"/>
      <c r="FLK46" s="1437"/>
      <c r="FLL46" s="1438"/>
      <c r="FLM46" s="198"/>
      <c r="FLN46" s="198"/>
      <c r="FLO46" s="198"/>
      <c r="FLP46" s="198"/>
      <c r="FLQ46" s="198"/>
      <c r="FLR46" s="198"/>
      <c r="FLS46" s="827"/>
      <c r="FLT46" s="198"/>
      <c r="FLU46" s="826"/>
      <c r="FLV46" s="1437"/>
      <c r="FLW46" s="1438"/>
      <c r="FLX46" s="198"/>
      <c r="FLY46" s="198"/>
      <c r="FLZ46" s="198"/>
      <c r="FMA46" s="198"/>
      <c r="FMB46" s="198"/>
      <c r="FMC46" s="198"/>
      <c r="FMD46" s="827"/>
      <c r="FME46" s="198"/>
      <c r="FMF46" s="826"/>
      <c r="FMG46" s="1437"/>
      <c r="FMH46" s="1438"/>
      <c r="FMI46" s="198"/>
      <c r="FMJ46" s="198"/>
      <c r="FMK46" s="198"/>
      <c r="FML46" s="198"/>
      <c r="FMM46" s="198"/>
      <c r="FMN46" s="198"/>
      <c r="FMO46" s="827"/>
      <c r="FMP46" s="198"/>
      <c r="FMQ46" s="826"/>
      <c r="FMR46" s="1437"/>
      <c r="FMS46" s="1438"/>
      <c r="FMT46" s="198"/>
      <c r="FMU46" s="198"/>
      <c r="FMV46" s="198"/>
      <c r="FMW46" s="198"/>
      <c r="FMX46" s="198"/>
      <c r="FMY46" s="198"/>
      <c r="FMZ46" s="827"/>
      <c r="FNA46" s="198"/>
      <c r="FNB46" s="826"/>
      <c r="FNC46" s="1437"/>
      <c r="FND46" s="1438"/>
      <c r="FNE46" s="198"/>
      <c r="FNF46" s="198"/>
      <c r="FNG46" s="198"/>
      <c r="FNH46" s="198"/>
      <c r="FNI46" s="198"/>
      <c r="FNJ46" s="198"/>
      <c r="FNK46" s="827"/>
      <c r="FNL46" s="198"/>
      <c r="FNM46" s="826"/>
      <c r="FNN46" s="1437"/>
      <c r="FNO46" s="1438"/>
      <c r="FNP46" s="198"/>
      <c r="FNQ46" s="198"/>
      <c r="FNR46" s="198"/>
      <c r="FNS46" s="198"/>
      <c r="FNT46" s="198"/>
      <c r="FNU46" s="198"/>
      <c r="FNV46" s="827"/>
      <c r="FNW46" s="198"/>
      <c r="FNX46" s="826"/>
      <c r="FNY46" s="1437"/>
      <c r="FNZ46" s="1438"/>
      <c r="FOA46" s="198"/>
      <c r="FOB46" s="198"/>
      <c r="FOC46" s="198"/>
      <c r="FOD46" s="198"/>
      <c r="FOE46" s="198"/>
      <c r="FOF46" s="198"/>
      <c r="FOG46" s="827"/>
      <c r="FOH46" s="198"/>
      <c r="FOI46" s="826"/>
      <c r="FOJ46" s="1437"/>
      <c r="FOK46" s="1438"/>
      <c r="FOL46" s="198"/>
      <c r="FOM46" s="198"/>
      <c r="FON46" s="198"/>
      <c r="FOO46" s="198"/>
      <c r="FOP46" s="198"/>
      <c r="FOQ46" s="198"/>
      <c r="FOR46" s="827"/>
      <c r="FOS46" s="198"/>
      <c r="FOT46" s="826"/>
      <c r="FOU46" s="1437"/>
      <c r="FOV46" s="1438"/>
      <c r="FOW46" s="198"/>
      <c r="FOX46" s="198"/>
      <c r="FOY46" s="198"/>
      <c r="FOZ46" s="198"/>
      <c r="FPA46" s="198"/>
      <c r="FPB46" s="198"/>
      <c r="FPC46" s="827"/>
      <c r="FPD46" s="198"/>
      <c r="FPE46" s="826"/>
      <c r="FPF46" s="1437"/>
      <c r="FPG46" s="1438"/>
      <c r="FPH46" s="198"/>
      <c r="FPI46" s="198"/>
      <c r="FPJ46" s="198"/>
      <c r="FPK46" s="198"/>
      <c r="FPL46" s="198"/>
      <c r="FPM46" s="198"/>
      <c r="FPN46" s="827"/>
      <c r="FPO46" s="198"/>
      <c r="FPP46" s="826"/>
      <c r="FPQ46" s="1437"/>
      <c r="FPR46" s="1438"/>
      <c r="FPS46" s="198"/>
      <c r="FPT46" s="198"/>
      <c r="FPU46" s="198"/>
      <c r="FPV46" s="198"/>
      <c r="FPW46" s="198"/>
      <c r="FPX46" s="198"/>
      <c r="FPY46" s="827"/>
      <c r="FPZ46" s="198"/>
      <c r="FQA46" s="826"/>
      <c r="FQB46" s="1437"/>
      <c r="FQC46" s="1438"/>
      <c r="FQD46" s="198"/>
      <c r="FQE46" s="198"/>
      <c r="FQF46" s="198"/>
      <c r="FQG46" s="198"/>
      <c r="FQH46" s="198"/>
      <c r="FQI46" s="198"/>
      <c r="FQJ46" s="827"/>
      <c r="FQK46" s="198"/>
      <c r="FQL46" s="826"/>
      <c r="FQM46" s="1437"/>
      <c r="FQN46" s="1438"/>
      <c r="FQO46" s="198"/>
      <c r="FQP46" s="198"/>
      <c r="FQQ46" s="198"/>
      <c r="FQR46" s="198"/>
      <c r="FQS46" s="198"/>
      <c r="FQT46" s="198"/>
      <c r="FQU46" s="827"/>
      <c r="FQV46" s="198"/>
      <c r="FQW46" s="826"/>
      <c r="FQX46" s="1437"/>
      <c r="FQY46" s="1438"/>
      <c r="FQZ46" s="198"/>
      <c r="FRA46" s="198"/>
      <c r="FRB46" s="198"/>
      <c r="FRC46" s="198"/>
      <c r="FRD46" s="198"/>
      <c r="FRE46" s="198"/>
      <c r="FRF46" s="827"/>
      <c r="FRG46" s="198"/>
      <c r="FRH46" s="826"/>
      <c r="FRI46" s="1437"/>
      <c r="FRJ46" s="1438"/>
      <c r="FRK46" s="198"/>
      <c r="FRL46" s="198"/>
      <c r="FRM46" s="198"/>
      <c r="FRN46" s="198"/>
      <c r="FRO46" s="198"/>
      <c r="FRP46" s="198"/>
      <c r="FRQ46" s="827"/>
      <c r="FRR46" s="198"/>
      <c r="FRS46" s="826"/>
      <c r="FRT46" s="1437"/>
      <c r="FRU46" s="1438"/>
      <c r="FRV46" s="198"/>
      <c r="FRW46" s="198"/>
      <c r="FRX46" s="198"/>
      <c r="FRY46" s="198"/>
      <c r="FRZ46" s="198"/>
      <c r="FSA46" s="198"/>
      <c r="FSB46" s="827"/>
      <c r="FSC46" s="198"/>
      <c r="FSD46" s="826"/>
      <c r="FSE46" s="1437"/>
      <c r="FSF46" s="1438"/>
      <c r="FSG46" s="198"/>
      <c r="FSH46" s="198"/>
      <c r="FSI46" s="198"/>
      <c r="FSJ46" s="198"/>
      <c r="FSK46" s="198"/>
      <c r="FSL46" s="198"/>
      <c r="FSM46" s="827"/>
      <c r="FSN46" s="198"/>
      <c r="FSO46" s="826"/>
      <c r="FSP46" s="1437"/>
      <c r="FSQ46" s="1438"/>
      <c r="FSR46" s="198"/>
      <c r="FSS46" s="198"/>
      <c r="FST46" s="198"/>
      <c r="FSU46" s="198"/>
      <c r="FSV46" s="198"/>
      <c r="FSW46" s="198"/>
      <c r="FSX46" s="827"/>
      <c r="FSY46" s="198"/>
      <c r="FSZ46" s="826"/>
      <c r="FTA46" s="1437"/>
      <c r="FTB46" s="1438"/>
      <c r="FTC46" s="198"/>
      <c r="FTD46" s="198"/>
      <c r="FTE46" s="198"/>
      <c r="FTF46" s="198"/>
      <c r="FTG46" s="198"/>
      <c r="FTH46" s="198"/>
      <c r="FTI46" s="827"/>
      <c r="FTJ46" s="198"/>
      <c r="FTK46" s="826"/>
      <c r="FTL46" s="1437"/>
      <c r="FTM46" s="1438"/>
      <c r="FTN46" s="198"/>
      <c r="FTO46" s="198"/>
      <c r="FTP46" s="198"/>
      <c r="FTQ46" s="198"/>
      <c r="FTR46" s="198"/>
      <c r="FTS46" s="198"/>
      <c r="FTT46" s="827"/>
      <c r="FTU46" s="198"/>
      <c r="FTV46" s="826"/>
      <c r="FTW46" s="1437"/>
      <c r="FTX46" s="1438"/>
      <c r="FTY46" s="198"/>
      <c r="FTZ46" s="198"/>
      <c r="FUA46" s="198"/>
      <c r="FUB46" s="198"/>
      <c r="FUC46" s="198"/>
      <c r="FUD46" s="198"/>
      <c r="FUE46" s="827"/>
      <c r="FUF46" s="198"/>
      <c r="FUG46" s="826"/>
      <c r="FUH46" s="1437"/>
      <c r="FUI46" s="1438"/>
      <c r="FUJ46" s="198"/>
      <c r="FUK46" s="198"/>
      <c r="FUL46" s="198"/>
      <c r="FUM46" s="198"/>
      <c r="FUN46" s="198"/>
      <c r="FUO46" s="198"/>
      <c r="FUP46" s="827"/>
      <c r="FUQ46" s="198"/>
      <c r="FUR46" s="826"/>
      <c r="FUS46" s="1437"/>
      <c r="FUT46" s="1438"/>
      <c r="FUU46" s="198"/>
      <c r="FUV46" s="198"/>
      <c r="FUW46" s="198"/>
      <c r="FUX46" s="198"/>
      <c r="FUY46" s="198"/>
      <c r="FUZ46" s="198"/>
      <c r="FVA46" s="827"/>
      <c r="FVB46" s="198"/>
      <c r="FVC46" s="826"/>
      <c r="FVD46" s="1437"/>
      <c r="FVE46" s="1438"/>
      <c r="FVF46" s="198"/>
      <c r="FVG46" s="198"/>
      <c r="FVH46" s="198"/>
      <c r="FVI46" s="198"/>
      <c r="FVJ46" s="198"/>
      <c r="FVK46" s="198"/>
      <c r="FVL46" s="827"/>
      <c r="FVM46" s="198"/>
      <c r="FVN46" s="826"/>
      <c r="FVO46" s="1437"/>
      <c r="FVP46" s="1438"/>
      <c r="FVQ46" s="198"/>
      <c r="FVR46" s="198"/>
      <c r="FVS46" s="198"/>
      <c r="FVT46" s="198"/>
      <c r="FVU46" s="198"/>
      <c r="FVV46" s="198"/>
      <c r="FVW46" s="827"/>
      <c r="FVX46" s="198"/>
      <c r="FVY46" s="826"/>
      <c r="FVZ46" s="1437"/>
      <c r="FWA46" s="1438"/>
      <c r="FWB46" s="198"/>
      <c r="FWC46" s="198"/>
      <c r="FWD46" s="198"/>
      <c r="FWE46" s="198"/>
      <c r="FWF46" s="198"/>
      <c r="FWG46" s="198"/>
      <c r="FWH46" s="827"/>
      <c r="FWI46" s="198"/>
      <c r="FWJ46" s="826"/>
      <c r="FWK46" s="1437"/>
      <c r="FWL46" s="1438"/>
      <c r="FWM46" s="198"/>
      <c r="FWN46" s="198"/>
      <c r="FWO46" s="198"/>
      <c r="FWP46" s="198"/>
      <c r="FWQ46" s="198"/>
      <c r="FWR46" s="198"/>
      <c r="FWS46" s="827"/>
      <c r="FWT46" s="198"/>
      <c r="FWU46" s="826"/>
      <c r="FWV46" s="1437"/>
      <c r="FWW46" s="1438"/>
      <c r="FWX46" s="198"/>
      <c r="FWY46" s="198"/>
      <c r="FWZ46" s="198"/>
      <c r="FXA46" s="198"/>
      <c r="FXB46" s="198"/>
      <c r="FXC46" s="198"/>
      <c r="FXD46" s="827"/>
      <c r="FXE46" s="198"/>
      <c r="FXF46" s="826"/>
      <c r="FXG46" s="1437"/>
      <c r="FXH46" s="1438"/>
      <c r="FXI46" s="198"/>
      <c r="FXJ46" s="198"/>
      <c r="FXK46" s="198"/>
      <c r="FXL46" s="198"/>
      <c r="FXM46" s="198"/>
      <c r="FXN46" s="198"/>
      <c r="FXO46" s="827"/>
      <c r="FXP46" s="198"/>
      <c r="FXQ46" s="826"/>
      <c r="FXR46" s="1437"/>
      <c r="FXS46" s="1438"/>
      <c r="FXT46" s="198"/>
      <c r="FXU46" s="198"/>
      <c r="FXV46" s="198"/>
      <c r="FXW46" s="198"/>
      <c r="FXX46" s="198"/>
      <c r="FXY46" s="198"/>
      <c r="FXZ46" s="827"/>
      <c r="FYA46" s="198"/>
      <c r="FYB46" s="826"/>
      <c r="FYC46" s="1437"/>
      <c r="FYD46" s="1438"/>
      <c r="FYE46" s="198"/>
      <c r="FYF46" s="198"/>
      <c r="FYG46" s="198"/>
      <c r="FYH46" s="198"/>
      <c r="FYI46" s="198"/>
      <c r="FYJ46" s="198"/>
      <c r="FYK46" s="827"/>
      <c r="FYL46" s="198"/>
      <c r="FYM46" s="826"/>
      <c r="FYN46" s="1437"/>
      <c r="FYO46" s="1438"/>
      <c r="FYP46" s="198"/>
      <c r="FYQ46" s="198"/>
      <c r="FYR46" s="198"/>
      <c r="FYS46" s="198"/>
      <c r="FYT46" s="198"/>
      <c r="FYU46" s="198"/>
      <c r="FYV46" s="827"/>
      <c r="FYW46" s="198"/>
      <c r="FYX46" s="826"/>
      <c r="FYY46" s="1437"/>
      <c r="FYZ46" s="1438"/>
      <c r="FZA46" s="198"/>
      <c r="FZB46" s="198"/>
      <c r="FZC46" s="198"/>
      <c r="FZD46" s="198"/>
      <c r="FZE46" s="198"/>
      <c r="FZF46" s="198"/>
      <c r="FZG46" s="827"/>
      <c r="FZH46" s="198"/>
      <c r="FZI46" s="826"/>
      <c r="FZJ46" s="1437"/>
      <c r="FZK46" s="1438"/>
      <c r="FZL46" s="198"/>
      <c r="FZM46" s="198"/>
      <c r="FZN46" s="198"/>
      <c r="FZO46" s="198"/>
      <c r="FZP46" s="198"/>
      <c r="FZQ46" s="198"/>
      <c r="FZR46" s="827"/>
      <c r="FZS46" s="198"/>
      <c r="FZT46" s="826"/>
      <c r="FZU46" s="1437"/>
      <c r="FZV46" s="1438"/>
      <c r="FZW46" s="198"/>
      <c r="FZX46" s="198"/>
      <c r="FZY46" s="198"/>
      <c r="FZZ46" s="198"/>
      <c r="GAA46" s="198"/>
      <c r="GAB46" s="198"/>
      <c r="GAC46" s="827"/>
      <c r="GAD46" s="198"/>
      <c r="GAE46" s="826"/>
      <c r="GAF46" s="1437"/>
      <c r="GAG46" s="1438"/>
      <c r="GAH46" s="198"/>
      <c r="GAI46" s="198"/>
      <c r="GAJ46" s="198"/>
      <c r="GAK46" s="198"/>
      <c r="GAL46" s="198"/>
      <c r="GAM46" s="198"/>
      <c r="GAN46" s="827"/>
      <c r="GAO46" s="198"/>
      <c r="GAP46" s="826"/>
      <c r="GAQ46" s="1437"/>
      <c r="GAR46" s="1438"/>
      <c r="GAS46" s="198"/>
      <c r="GAT46" s="198"/>
      <c r="GAU46" s="198"/>
      <c r="GAV46" s="198"/>
      <c r="GAW46" s="198"/>
      <c r="GAX46" s="198"/>
      <c r="GAY46" s="827"/>
      <c r="GAZ46" s="198"/>
      <c r="GBA46" s="826"/>
      <c r="GBB46" s="1437"/>
      <c r="GBC46" s="1438"/>
      <c r="GBD46" s="198"/>
      <c r="GBE46" s="198"/>
      <c r="GBF46" s="198"/>
      <c r="GBG46" s="198"/>
      <c r="GBH46" s="198"/>
      <c r="GBI46" s="198"/>
      <c r="GBJ46" s="827"/>
      <c r="GBK46" s="198"/>
      <c r="GBL46" s="826"/>
      <c r="GBM46" s="1437"/>
      <c r="GBN46" s="1438"/>
      <c r="GBO46" s="198"/>
      <c r="GBP46" s="198"/>
      <c r="GBQ46" s="198"/>
      <c r="GBR46" s="198"/>
      <c r="GBS46" s="198"/>
      <c r="GBT46" s="198"/>
      <c r="GBU46" s="827"/>
      <c r="GBV46" s="198"/>
      <c r="GBW46" s="826"/>
      <c r="GBX46" s="1437"/>
      <c r="GBY46" s="1438"/>
      <c r="GBZ46" s="198"/>
      <c r="GCA46" s="198"/>
      <c r="GCB46" s="198"/>
      <c r="GCC46" s="198"/>
      <c r="GCD46" s="198"/>
      <c r="GCE46" s="198"/>
      <c r="GCF46" s="827"/>
      <c r="GCG46" s="198"/>
      <c r="GCH46" s="826"/>
      <c r="GCI46" s="1437"/>
      <c r="GCJ46" s="1438"/>
      <c r="GCK46" s="198"/>
      <c r="GCL46" s="198"/>
      <c r="GCM46" s="198"/>
      <c r="GCN46" s="198"/>
      <c r="GCO46" s="198"/>
      <c r="GCP46" s="198"/>
      <c r="GCQ46" s="827"/>
      <c r="GCR46" s="198"/>
      <c r="GCS46" s="826"/>
      <c r="GCT46" s="1437"/>
      <c r="GCU46" s="1438"/>
      <c r="GCV46" s="198"/>
      <c r="GCW46" s="198"/>
      <c r="GCX46" s="198"/>
      <c r="GCY46" s="198"/>
      <c r="GCZ46" s="198"/>
      <c r="GDA46" s="198"/>
      <c r="GDB46" s="827"/>
      <c r="GDC46" s="198"/>
      <c r="GDD46" s="826"/>
      <c r="GDE46" s="1437"/>
      <c r="GDF46" s="1438"/>
      <c r="GDG46" s="198"/>
      <c r="GDH46" s="198"/>
      <c r="GDI46" s="198"/>
      <c r="GDJ46" s="198"/>
      <c r="GDK46" s="198"/>
      <c r="GDL46" s="198"/>
      <c r="GDM46" s="827"/>
      <c r="GDN46" s="198"/>
      <c r="GDO46" s="826"/>
      <c r="GDP46" s="1437"/>
      <c r="GDQ46" s="1438"/>
      <c r="GDR46" s="198"/>
      <c r="GDS46" s="198"/>
      <c r="GDT46" s="198"/>
      <c r="GDU46" s="198"/>
      <c r="GDV46" s="198"/>
      <c r="GDW46" s="198"/>
      <c r="GDX46" s="827"/>
      <c r="GDY46" s="198"/>
      <c r="GDZ46" s="826"/>
      <c r="GEA46" s="1437"/>
      <c r="GEB46" s="1438"/>
      <c r="GEC46" s="198"/>
      <c r="GED46" s="198"/>
      <c r="GEE46" s="198"/>
      <c r="GEF46" s="198"/>
      <c r="GEG46" s="198"/>
      <c r="GEH46" s="198"/>
      <c r="GEI46" s="827"/>
      <c r="GEJ46" s="198"/>
      <c r="GEK46" s="826"/>
      <c r="GEL46" s="1437"/>
      <c r="GEM46" s="1438"/>
      <c r="GEN46" s="198"/>
      <c r="GEO46" s="198"/>
      <c r="GEP46" s="198"/>
      <c r="GEQ46" s="198"/>
      <c r="GER46" s="198"/>
      <c r="GES46" s="198"/>
      <c r="GET46" s="827"/>
      <c r="GEU46" s="198"/>
      <c r="GEV46" s="826"/>
      <c r="GEW46" s="1437"/>
      <c r="GEX46" s="1438"/>
      <c r="GEY46" s="198"/>
      <c r="GEZ46" s="198"/>
      <c r="GFA46" s="198"/>
      <c r="GFB46" s="198"/>
      <c r="GFC46" s="198"/>
      <c r="GFD46" s="198"/>
      <c r="GFE46" s="827"/>
      <c r="GFF46" s="198"/>
      <c r="GFG46" s="826"/>
      <c r="GFH46" s="1437"/>
      <c r="GFI46" s="1438"/>
      <c r="GFJ46" s="198"/>
      <c r="GFK46" s="198"/>
      <c r="GFL46" s="198"/>
      <c r="GFM46" s="198"/>
      <c r="GFN46" s="198"/>
      <c r="GFO46" s="198"/>
      <c r="GFP46" s="827"/>
      <c r="GFQ46" s="198"/>
      <c r="GFR46" s="826"/>
      <c r="GFS46" s="1437"/>
      <c r="GFT46" s="1438"/>
      <c r="GFU46" s="198"/>
      <c r="GFV46" s="198"/>
      <c r="GFW46" s="198"/>
      <c r="GFX46" s="198"/>
      <c r="GFY46" s="198"/>
      <c r="GFZ46" s="198"/>
      <c r="GGA46" s="827"/>
      <c r="GGB46" s="198"/>
      <c r="GGC46" s="826"/>
      <c r="GGD46" s="1437"/>
      <c r="GGE46" s="1438"/>
      <c r="GGF46" s="198"/>
      <c r="GGG46" s="198"/>
      <c r="GGH46" s="198"/>
      <c r="GGI46" s="198"/>
      <c r="GGJ46" s="198"/>
      <c r="GGK46" s="198"/>
      <c r="GGL46" s="827"/>
      <c r="GGM46" s="198"/>
      <c r="GGN46" s="826"/>
      <c r="GGO46" s="1437"/>
      <c r="GGP46" s="1438"/>
      <c r="GGQ46" s="198"/>
      <c r="GGR46" s="198"/>
      <c r="GGS46" s="198"/>
      <c r="GGT46" s="198"/>
      <c r="GGU46" s="198"/>
      <c r="GGV46" s="198"/>
      <c r="GGW46" s="827"/>
      <c r="GGX46" s="198"/>
      <c r="GGY46" s="826"/>
      <c r="GGZ46" s="1437"/>
      <c r="GHA46" s="1438"/>
      <c r="GHB46" s="198"/>
      <c r="GHC46" s="198"/>
      <c r="GHD46" s="198"/>
      <c r="GHE46" s="198"/>
      <c r="GHF46" s="198"/>
      <c r="GHG46" s="198"/>
      <c r="GHH46" s="827"/>
      <c r="GHI46" s="198"/>
      <c r="GHJ46" s="826"/>
      <c r="GHK46" s="1437"/>
      <c r="GHL46" s="1438"/>
      <c r="GHM46" s="198"/>
      <c r="GHN46" s="198"/>
      <c r="GHO46" s="198"/>
      <c r="GHP46" s="198"/>
      <c r="GHQ46" s="198"/>
      <c r="GHR46" s="198"/>
      <c r="GHS46" s="827"/>
      <c r="GHT46" s="198"/>
      <c r="GHU46" s="826"/>
      <c r="GHV46" s="1437"/>
      <c r="GHW46" s="1438"/>
      <c r="GHX46" s="198"/>
      <c r="GHY46" s="198"/>
      <c r="GHZ46" s="198"/>
      <c r="GIA46" s="198"/>
      <c r="GIB46" s="198"/>
      <c r="GIC46" s="198"/>
      <c r="GID46" s="827"/>
      <c r="GIE46" s="198"/>
      <c r="GIF46" s="826"/>
      <c r="GIG46" s="1437"/>
      <c r="GIH46" s="1438"/>
      <c r="GII46" s="198"/>
      <c r="GIJ46" s="198"/>
      <c r="GIK46" s="198"/>
      <c r="GIL46" s="198"/>
      <c r="GIM46" s="198"/>
      <c r="GIN46" s="198"/>
      <c r="GIO46" s="827"/>
      <c r="GIP46" s="198"/>
      <c r="GIQ46" s="826"/>
      <c r="GIR46" s="1437"/>
      <c r="GIS46" s="1438"/>
      <c r="GIT46" s="198"/>
      <c r="GIU46" s="198"/>
      <c r="GIV46" s="198"/>
      <c r="GIW46" s="198"/>
      <c r="GIX46" s="198"/>
      <c r="GIY46" s="198"/>
      <c r="GIZ46" s="827"/>
      <c r="GJA46" s="198"/>
      <c r="GJB46" s="826"/>
      <c r="GJC46" s="1437"/>
      <c r="GJD46" s="1438"/>
      <c r="GJE46" s="198"/>
      <c r="GJF46" s="198"/>
      <c r="GJG46" s="198"/>
      <c r="GJH46" s="198"/>
      <c r="GJI46" s="198"/>
      <c r="GJJ46" s="198"/>
      <c r="GJK46" s="827"/>
      <c r="GJL46" s="198"/>
      <c r="GJM46" s="826"/>
      <c r="GJN46" s="1437"/>
      <c r="GJO46" s="1438"/>
      <c r="GJP46" s="198"/>
      <c r="GJQ46" s="198"/>
      <c r="GJR46" s="198"/>
      <c r="GJS46" s="198"/>
      <c r="GJT46" s="198"/>
      <c r="GJU46" s="198"/>
      <c r="GJV46" s="827"/>
      <c r="GJW46" s="198"/>
      <c r="GJX46" s="826"/>
      <c r="GJY46" s="1437"/>
      <c r="GJZ46" s="1438"/>
      <c r="GKA46" s="198"/>
      <c r="GKB46" s="198"/>
      <c r="GKC46" s="198"/>
      <c r="GKD46" s="198"/>
      <c r="GKE46" s="198"/>
      <c r="GKF46" s="198"/>
      <c r="GKG46" s="827"/>
      <c r="GKH46" s="198"/>
      <c r="GKI46" s="826"/>
      <c r="GKJ46" s="1437"/>
      <c r="GKK46" s="1438"/>
      <c r="GKL46" s="198"/>
      <c r="GKM46" s="198"/>
      <c r="GKN46" s="198"/>
      <c r="GKO46" s="198"/>
      <c r="GKP46" s="198"/>
      <c r="GKQ46" s="198"/>
      <c r="GKR46" s="827"/>
      <c r="GKS46" s="198"/>
      <c r="GKT46" s="826"/>
      <c r="GKU46" s="1437"/>
      <c r="GKV46" s="1438"/>
      <c r="GKW46" s="198"/>
      <c r="GKX46" s="198"/>
      <c r="GKY46" s="198"/>
      <c r="GKZ46" s="198"/>
      <c r="GLA46" s="198"/>
      <c r="GLB46" s="198"/>
      <c r="GLC46" s="827"/>
      <c r="GLD46" s="198"/>
      <c r="GLE46" s="826"/>
      <c r="GLF46" s="1437"/>
      <c r="GLG46" s="1438"/>
      <c r="GLH46" s="198"/>
      <c r="GLI46" s="198"/>
      <c r="GLJ46" s="198"/>
      <c r="GLK46" s="198"/>
      <c r="GLL46" s="198"/>
      <c r="GLM46" s="198"/>
      <c r="GLN46" s="827"/>
      <c r="GLO46" s="198"/>
      <c r="GLP46" s="826"/>
      <c r="GLQ46" s="1437"/>
      <c r="GLR46" s="1438"/>
      <c r="GLS46" s="198"/>
      <c r="GLT46" s="198"/>
      <c r="GLU46" s="198"/>
      <c r="GLV46" s="198"/>
      <c r="GLW46" s="198"/>
      <c r="GLX46" s="198"/>
      <c r="GLY46" s="827"/>
      <c r="GLZ46" s="198"/>
      <c r="GMA46" s="826"/>
      <c r="GMB46" s="1437"/>
      <c r="GMC46" s="1438"/>
      <c r="GMD46" s="198"/>
      <c r="GME46" s="198"/>
      <c r="GMF46" s="198"/>
      <c r="GMG46" s="198"/>
      <c r="GMH46" s="198"/>
      <c r="GMI46" s="198"/>
      <c r="GMJ46" s="827"/>
      <c r="GMK46" s="198"/>
      <c r="GML46" s="826"/>
      <c r="GMM46" s="1437"/>
      <c r="GMN46" s="1438"/>
      <c r="GMO46" s="198"/>
      <c r="GMP46" s="198"/>
      <c r="GMQ46" s="198"/>
      <c r="GMR46" s="198"/>
      <c r="GMS46" s="198"/>
      <c r="GMT46" s="198"/>
      <c r="GMU46" s="827"/>
      <c r="GMV46" s="198"/>
      <c r="GMW46" s="826"/>
      <c r="GMX46" s="1437"/>
      <c r="GMY46" s="1438"/>
      <c r="GMZ46" s="198"/>
      <c r="GNA46" s="198"/>
      <c r="GNB46" s="198"/>
      <c r="GNC46" s="198"/>
      <c r="GND46" s="198"/>
      <c r="GNE46" s="198"/>
      <c r="GNF46" s="827"/>
      <c r="GNG46" s="198"/>
      <c r="GNH46" s="826"/>
      <c r="GNI46" s="1437"/>
      <c r="GNJ46" s="1438"/>
      <c r="GNK46" s="198"/>
      <c r="GNL46" s="198"/>
      <c r="GNM46" s="198"/>
      <c r="GNN46" s="198"/>
      <c r="GNO46" s="198"/>
      <c r="GNP46" s="198"/>
      <c r="GNQ46" s="827"/>
      <c r="GNR46" s="198"/>
      <c r="GNS46" s="826"/>
      <c r="GNT46" s="1437"/>
      <c r="GNU46" s="1438"/>
      <c r="GNV46" s="198"/>
      <c r="GNW46" s="198"/>
      <c r="GNX46" s="198"/>
      <c r="GNY46" s="198"/>
      <c r="GNZ46" s="198"/>
      <c r="GOA46" s="198"/>
      <c r="GOB46" s="827"/>
      <c r="GOC46" s="198"/>
      <c r="GOD46" s="826"/>
      <c r="GOE46" s="1437"/>
      <c r="GOF46" s="1438"/>
      <c r="GOG46" s="198"/>
      <c r="GOH46" s="198"/>
      <c r="GOI46" s="198"/>
      <c r="GOJ46" s="198"/>
      <c r="GOK46" s="198"/>
      <c r="GOL46" s="198"/>
      <c r="GOM46" s="827"/>
      <c r="GON46" s="198"/>
      <c r="GOO46" s="826"/>
      <c r="GOP46" s="1437"/>
      <c r="GOQ46" s="1438"/>
      <c r="GOR46" s="198"/>
      <c r="GOS46" s="198"/>
      <c r="GOT46" s="198"/>
      <c r="GOU46" s="198"/>
      <c r="GOV46" s="198"/>
      <c r="GOW46" s="198"/>
      <c r="GOX46" s="827"/>
      <c r="GOY46" s="198"/>
      <c r="GOZ46" s="826"/>
      <c r="GPA46" s="1437"/>
      <c r="GPB46" s="1438"/>
      <c r="GPC46" s="198"/>
      <c r="GPD46" s="198"/>
      <c r="GPE46" s="198"/>
      <c r="GPF46" s="198"/>
      <c r="GPG46" s="198"/>
      <c r="GPH46" s="198"/>
      <c r="GPI46" s="827"/>
      <c r="GPJ46" s="198"/>
      <c r="GPK46" s="826"/>
      <c r="GPL46" s="1437"/>
      <c r="GPM46" s="1438"/>
      <c r="GPN46" s="198"/>
      <c r="GPO46" s="198"/>
      <c r="GPP46" s="198"/>
      <c r="GPQ46" s="198"/>
      <c r="GPR46" s="198"/>
      <c r="GPS46" s="198"/>
      <c r="GPT46" s="827"/>
      <c r="GPU46" s="198"/>
      <c r="GPV46" s="826"/>
      <c r="GPW46" s="1437"/>
      <c r="GPX46" s="1438"/>
      <c r="GPY46" s="198"/>
      <c r="GPZ46" s="198"/>
      <c r="GQA46" s="198"/>
      <c r="GQB46" s="198"/>
      <c r="GQC46" s="198"/>
      <c r="GQD46" s="198"/>
      <c r="GQE46" s="827"/>
      <c r="GQF46" s="198"/>
      <c r="GQG46" s="826"/>
      <c r="GQH46" s="1437"/>
      <c r="GQI46" s="1438"/>
      <c r="GQJ46" s="198"/>
      <c r="GQK46" s="198"/>
      <c r="GQL46" s="198"/>
      <c r="GQM46" s="198"/>
      <c r="GQN46" s="198"/>
      <c r="GQO46" s="198"/>
      <c r="GQP46" s="827"/>
      <c r="GQQ46" s="198"/>
      <c r="GQR46" s="826"/>
      <c r="GQS46" s="1437"/>
      <c r="GQT46" s="1438"/>
      <c r="GQU46" s="198"/>
      <c r="GQV46" s="198"/>
      <c r="GQW46" s="198"/>
      <c r="GQX46" s="198"/>
      <c r="GQY46" s="198"/>
      <c r="GQZ46" s="198"/>
      <c r="GRA46" s="827"/>
      <c r="GRB46" s="198"/>
      <c r="GRC46" s="826"/>
      <c r="GRD46" s="1437"/>
      <c r="GRE46" s="1438"/>
      <c r="GRF46" s="198"/>
      <c r="GRG46" s="198"/>
      <c r="GRH46" s="198"/>
      <c r="GRI46" s="198"/>
      <c r="GRJ46" s="198"/>
      <c r="GRK46" s="198"/>
      <c r="GRL46" s="827"/>
      <c r="GRM46" s="198"/>
      <c r="GRN46" s="826"/>
      <c r="GRO46" s="1437"/>
      <c r="GRP46" s="1438"/>
      <c r="GRQ46" s="198"/>
      <c r="GRR46" s="198"/>
      <c r="GRS46" s="198"/>
      <c r="GRT46" s="198"/>
      <c r="GRU46" s="198"/>
      <c r="GRV46" s="198"/>
      <c r="GRW46" s="827"/>
      <c r="GRX46" s="198"/>
      <c r="GRY46" s="826"/>
      <c r="GRZ46" s="1437"/>
      <c r="GSA46" s="1438"/>
      <c r="GSB46" s="198"/>
      <c r="GSC46" s="198"/>
      <c r="GSD46" s="198"/>
      <c r="GSE46" s="198"/>
      <c r="GSF46" s="198"/>
      <c r="GSG46" s="198"/>
      <c r="GSH46" s="827"/>
      <c r="GSI46" s="198"/>
      <c r="GSJ46" s="826"/>
      <c r="GSK46" s="1437"/>
      <c r="GSL46" s="1438"/>
      <c r="GSM46" s="198"/>
      <c r="GSN46" s="198"/>
      <c r="GSO46" s="198"/>
      <c r="GSP46" s="198"/>
      <c r="GSQ46" s="198"/>
      <c r="GSR46" s="198"/>
      <c r="GSS46" s="827"/>
      <c r="GST46" s="198"/>
      <c r="GSU46" s="826"/>
      <c r="GSV46" s="1437"/>
      <c r="GSW46" s="1438"/>
      <c r="GSX46" s="198"/>
      <c r="GSY46" s="198"/>
      <c r="GSZ46" s="198"/>
      <c r="GTA46" s="198"/>
      <c r="GTB46" s="198"/>
      <c r="GTC46" s="198"/>
      <c r="GTD46" s="827"/>
      <c r="GTE46" s="198"/>
      <c r="GTF46" s="826"/>
      <c r="GTG46" s="1437"/>
      <c r="GTH46" s="1438"/>
      <c r="GTI46" s="198"/>
      <c r="GTJ46" s="198"/>
      <c r="GTK46" s="198"/>
      <c r="GTL46" s="198"/>
      <c r="GTM46" s="198"/>
      <c r="GTN46" s="198"/>
      <c r="GTO46" s="827"/>
      <c r="GTP46" s="198"/>
      <c r="GTQ46" s="826"/>
      <c r="GTR46" s="1437"/>
      <c r="GTS46" s="1438"/>
      <c r="GTT46" s="198"/>
      <c r="GTU46" s="198"/>
      <c r="GTV46" s="198"/>
      <c r="GTW46" s="198"/>
      <c r="GTX46" s="198"/>
      <c r="GTY46" s="198"/>
      <c r="GTZ46" s="827"/>
      <c r="GUA46" s="198"/>
      <c r="GUB46" s="826"/>
      <c r="GUC46" s="1437"/>
      <c r="GUD46" s="1438"/>
      <c r="GUE46" s="198"/>
      <c r="GUF46" s="198"/>
      <c r="GUG46" s="198"/>
      <c r="GUH46" s="198"/>
      <c r="GUI46" s="198"/>
      <c r="GUJ46" s="198"/>
      <c r="GUK46" s="827"/>
      <c r="GUL46" s="198"/>
      <c r="GUM46" s="826"/>
      <c r="GUN46" s="1437"/>
      <c r="GUO46" s="1438"/>
      <c r="GUP46" s="198"/>
      <c r="GUQ46" s="198"/>
      <c r="GUR46" s="198"/>
      <c r="GUS46" s="198"/>
      <c r="GUT46" s="198"/>
      <c r="GUU46" s="198"/>
      <c r="GUV46" s="827"/>
      <c r="GUW46" s="198"/>
      <c r="GUX46" s="826"/>
      <c r="GUY46" s="1437"/>
      <c r="GUZ46" s="1438"/>
      <c r="GVA46" s="198"/>
      <c r="GVB46" s="198"/>
      <c r="GVC46" s="198"/>
      <c r="GVD46" s="198"/>
      <c r="GVE46" s="198"/>
      <c r="GVF46" s="198"/>
      <c r="GVG46" s="827"/>
      <c r="GVH46" s="198"/>
      <c r="GVI46" s="826"/>
      <c r="GVJ46" s="1437"/>
      <c r="GVK46" s="1438"/>
      <c r="GVL46" s="198"/>
      <c r="GVM46" s="198"/>
      <c r="GVN46" s="198"/>
      <c r="GVO46" s="198"/>
      <c r="GVP46" s="198"/>
      <c r="GVQ46" s="198"/>
      <c r="GVR46" s="827"/>
      <c r="GVS46" s="198"/>
      <c r="GVT46" s="826"/>
      <c r="GVU46" s="1437"/>
      <c r="GVV46" s="1438"/>
      <c r="GVW46" s="198"/>
      <c r="GVX46" s="198"/>
      <c r="GVY46" s="198"/>
      <c r="GVZ46" s="198"/>
      <c r="GWA46" s="198"/>
      <c r="GWB46" s="198"/>
      <c r="GWC46" s="827"/>
      <c r="GWD46" s="198"/>
      <c r="GWE46" s="826"/>
      <c r="GWF46" s="1437"/>
      <c r="GWG46" s="1438"/>
      <c r="GWH46" s="198"/>
      <c r="GWI46" s="198"/>
      <c r="GWJ46" s="198"/>
      <c r="GWK46" s="198"/>
      <c r="GWL46" s="198"/>
      <c r="GWM46" s="198"/>
      <c r="GWN46" s="827"/>
      <c r="GWO46" s="198"/>
      <c r="GWP46" s="826"/>
      <c r="GWQ46" s="1437"/>
      <c r="GWR46" s="1438"/>
      <c r="GWS46" s="198"/>
      <c r="GWT46" s="198"/>
      <c r="GWU46" s="198"/>
      <c r="GWV46" s="198"/>
      <c r="GWW46" s="198"/>
      <c r="GWX46" s="198"/>
      <c r="GWY46" s="827"/>
      <c r="GWZ46" s="198"/>
      <c r="GXA46" s="826"/>
      <c r="GXB46" s="1437"/>
      <c r="GXC46" s="1438"/>
      <c r="GXD46" s="198"/>
      <c r="GXE46" s="198"/>
      <c r="GXF46" s="198"/>
      <c r="GXG46" s="198"/>
      <c r="GXH46" s="198"/>
      <c r="GXI46" s="198"/>
      <c r="GXJ46" s="827"/>
      <c r="GXK46" s="198"/>
      <c r="GXL46" s="826"/>
      <c r="GXM46" s="1437"/>
      <c r="GXN46" s="1438"/>
      <c r="GXO46" s="198"/>
      <c r="GXP46" s="198"/>
      <c r="GXQ46" s="198"/>
      <c r="GXR46" s="198"/>
      <c r="GXS46" s="198"/>
      <c r="GXT46" s="198"/>
      <c r="GXU46" s="827"/>
      <c r="GXV46" s="198"/>
      <c r="GXW46" s="826"/>
      <c r="GXX46" s="1437"/>
      <c r="GXY46" s="1438"/>
      <c r="GXZ46" s="198"/>
      <c r="GYA46" s="198"/>
      <c r="GYB46" s="198"/>
      <c r="GYC46" s="198"/>
      <c r="GYD46" s="198"/>
      <c r="GYE46" s="198"/>
      <c r="GYF46" s="827"/>
      <c r="GYG46" s="198"/>
      <c r="GYH46" s="826"/>
      <c r="GYI46" s="1437"/>
      <c r="GYJ46" s="1438"/>
      <c r="GYK46" s="198"/>
      <c r="GYL46" s="198"/>
      <c r="GYM46" s="198"/>
      <c r="GYN46" s="198"/>
      <c r="GYO46" s="198"/>
      <c r="GYP46" s="198"/>
      <c r="GYQ46" s="827"/>
      <c r="GYR46" s="198"/>
      <c r="GYS46" s="826"/>
      <c r="GYT46" s="1437"/>
      <c r="GYU46" s="1438"/>
      <c r="GYV46" s="198"/>
      <c r="GYW46" s="198"/>
      <c r="GYX46" s="198"/>
      <c r="GYY46" s="198"/>
      <c r="GYZ46" s="198"/>
      <c r="GZA46" s="198"/>
      <c r="GZB46" s="827"/>
      <c r="GZC46" s="198"/>
      <c r="GZD46" s="826"/>
      <c r="GZE46" s="1437"/>
      <c r="GZF46" s="1438"/>
      <c r="GZG46" s="198"/>
      <c r="GZH46" s="198"/>
      <c r="GZI46" s="198"/>
      <c r="GZJ46" s="198"/>
      <c r="GZK46" s="198"/>
      <c r="GZL46" s="198"/>
      <c r="GZM46" s="827"/>
      <c r="GZN46" s="198"/>
      <c r="GZO46" s="826"/>
      <c r="GZP46" s="1437"/>
      <c r="GZQ46" s="1438"/>
      <c r="GZR46" s="198"/>
      <c r="GZS46" s="198"/>
      <c r="GZT46" s="198"/>
      <c r="GZU46" s="198"/>
      <c r="GZV46" s="198"/>
      <c r="GZW46" s="198"/>
      <c r="GZX46" s="827"/>
      <c r="GZY46" s="198"/>
      <c r="GZZ46" s="826"/>
      <c r="HAA46" s="1437"/>
      <c r="HAB46" s="1438"/>
      <c r="HAC46" s="198"/>
      <c r="HAD46" s="198"/>
      <c r="HAE46" s="198"/>
      <c r="HAF46" s="198"/>
      <c r="HAG46" s="198"/>
      <c r="HAH46" s="198"/>
      <c r="HAI46" s="827"/>
      <c r="HAJ46" s="198"/>
      <c r="HAK46" s="826"/>
      <c r="HAL46" s="1437"/>
      <c r="HAM46" s="1438"/>
      <c r="HAN46" s="198"/>
      <c r="HAO46" s="198"/>
      <c r="HAP46" s="198"/>
      <c r="HAQ46" s="198"/>
      <c r="HAR46" s="198"/>
      <c r="HAS46" s="198"/>
      <c r="HAT46" s="827"/>
      <c r="HAU46" s="198"/>
      <c r="HAV46" s="826"/>
      <c r="HAW46" s="1437"/>
      <c r="HAX46" s="1438"/>
      <c r="HAY46" s="198"/>
      <c r="HAZ46" s="198"/>
      <c r="HBA46" s="198"/>
      <c r="HBB46" s="198"/>
      <c r="HBC46" s="198"/>
      <c r="HBD46" s="198"/>
      <c r="HBE46" s="827"/>
      <c r="HBF46" s="198"/>
      <c r="HBG46" s="826"/>
      <c r="HBH46" s="1437"/>
      <c r="HBI46" s="1438"/>
      <c r="HBJ46" s="198"/>
      <c r="HBK46" s="198"/>
      <c r="HBL46" s="198"/>
      <c r="HBM46" s="198"/>
      <c r="HBN46" s="198"/>
      <c r="HBO46" s="198"/>
      <c r="HBP46" s="827"/>
      <c r="HBQ46" s="198"/>
      <c r="HBR46" s="826"/>
      <c r="HBS46" s="1437"/>
      <c r="HBT46" s="1438"/>
      <c r="HBU46" s="198"/>
      <c r="HBV46" s="198"/>
      <c r="HBW46" s="198"/>
      <c r="HBX46" s="198"/>
      <c r="HBY46" s="198"/>
      <c r="HBZ46" s="198"/>
      <c r="HCA46" s="827"/>
      <c r="HCB46" s="198"/>
      <c r="HCC46" s="826"/>
      <c r="HCD46" s="1437"/>
      <c r="HCE46" s="1438"/>
      <c r="HCF46" s="198"/>
      <c r="HCG46" s="198"/>
      <c r="HCH46" s="198"/>
      <c r="HCI46" s="198"/>
      <c r="HCJ46" s="198"/>
      <c r="HCK46" s="198"/>
      <c r="HCL46" s="827"/>
      <c r="HCM46" s="198"/>
      <c r="HCN46" s="826"/>
      <c r="HCO46" s="1437"/>
      <c r="HCP46" s="1438"/>
      <c r="HCQ46" s="198"/>
      <c r="HCR46" s="198"/>
      <c r="HCS46" s="198"/>
      <c r="HCT46" s="198"/>
      <c r="HCU46" s="198"/>
      <c r="HCV46" s="198"/>
      <c r="HCW46" s="827"/>
      <c r="HCX46" s="198"/>
      <c r="HCY46" s="826"/>
      <c r="HCZ46" s="1437"/>
      <c r="HDA46" s="1438"/>
      <c r="HDB46" s="198"/>
      <c r="HDC46" s="198"/>
      <c r="HDD46" s="198"/>
      <c r="HDE46" s="198"/>
      <c r="HDF46" s="198"/>
      <c r="HDG46" s="198"/>
      <c r="HDH46" s="827"/>
      <c r="HDI46" s="198"/>
      <c r="HDJ46" s="826"/>
      <c r="HDK46" s="1437"/>
      <c r="HDL46" s="1438"/>
      <c r="HDM46" s="198"/>
      <c r="HDN46" s="198"/>
      <c r="HDO46" s="198"/>
      <c r="HDP46" s="198"/>
      <c r="HDQ46" s="198"/>
      <c r="HDR46" s="198"/>
      <c r="HDS46" s="827"/>
      <c r="HDT46" s="198"/>
      <c r="HDU46" s="826"/>
      <c r="HDV46" s="1437"/>
      <c r="HDW46" s="1438"/>
      <c r="HDX46" s="198"/>
      <c r="HDY46" s="198"/>
      <c r="HDZ46" s="198"/>
      <c r="HEA46" s="198"/>
      <c r="HEB46" s="198"/>
      <c r="HEC46" s="198"/>
      <c r="HED46" s="827"/>
      <c r="HEE46" s="198"/>
      <c r="HEF46" s="826"/>
      <c r="HEG46" s="1437"/>
      <c r="HEH46" s="1438"/>
      <c r="HEI46" s="198"/>
      <c r="HEJ46" s="198"/>
      <c r="HEK46" s="198"/>
      <c r="HEL46" s="198"/>
      <c r="HEM46" s="198"/>
      <c r="HEN46" s="198"/>
      <c r="HEO46" s="827"/>
      <c r="HEP46" s="198"/>
      <c r="HEQ46" s="826"/>
      <c r="HER46" s="1437"/>
      <c r="HES46" s="1438"/>
      <c r="HET46" s="198"/>
      <c r="HEU46" s="198"/>
      <c r="HEV46" s="198"/>
      <c r="HEW46" s="198"/>
      <c r="HEX46" s="198"/>
      <c r="HEY46" s="198"/>
      <c r="HEZ46" s="827"/>
      <c r="HFA46" s="198"/>
      <c r="HFB46" s="826"/>
      <c r="HFC46" s="1437"/>
      <c r="HFD46" s="1438"/>
      <c r="HFE46" s="198"/>
      <c r="HFF46" s="198"/>
      <c r="HFG46" s="198"/>
      <c r="HFH46" s="198"/>
      <c r="HFI46" s="198"/>
      <c r="HFJ46" s="198"/>
      <c r="HFK46" s="827"/>
      <c r="HFL46" s="198"/>
      <c r="HFM46" s="826"/>
      <c r="HFN46" s="1437"/>
      <c r="HFO46" s="1438"/>
      <c r="HFP46" s="198"/>
      <c r="HFQ46" s="198"/>
      <c r="HFR46" s="198"/>
      <c r="HFS46" s="198"/>
      <c r="HFT46" s="198"/>
      <c r="HFU46" s="198"/>
      <c r="HFV46" s="827"/>
      <c r="HFW46" s="198"/>
      <c r="HFX46" s="826"/>
      <c r="HFY46" s="1437"/>
      <c r="HFZ46" s="1438"/>
      <c r="HGA46" s="198"/>
      <c r="HGB46" s="198"/>
      <c r="HGC46" s="198"/>
      <c r="HGD46" s="198"/>
      <c r="HGE46" s="198"/>
      <c r="HGF46" s="198"/>
      <c r="HGG46" s="827"/>
      <c r="HGH46" s="198"/>
      <c r="HGI46" s="826"/>
      <c r="HGJ46" s="1437"/>
      <c r="HGK46" s="1438"/>
      <c r="HGL46" s="198"/>
      <c r="HGM46" s="198"/>
      <c r="HGN46" s="198"/>
      <c r="HGO46" s="198"/>
      <c r="HGP46" s="198"/>
      <c r="HGQ46" s="198"/>
      <c r="HGR46" s="827"/>
      <c r="HGS46" s="198"/>
      <c r="HGT46" s="826"/>
      <c r="HGU46" s="1437"/>
      <c r="HGV46" s="1438"/>
      <c r="HGW46" s="198"/>
      <c r="HGX46" s="198"/>
      <c r="HGY46" s="198"/>
      <c r="HGZ46" s="198"/>
      <c r="HHA46" s="198"/>
      <c r="HHB46" s="198"/>
      <c r="HHC46" s="827"/>
      <c r="HHD46" s="198"/>
      <c r="HHE46" s="826"/>
      <c r="HHF46" s="1437"/>
      <c r="HHG46" s="1438"/>
      <c r="HHH46" s="198"/>
      <c r="HHI46" s="198"/>
      <c r="HHJ46" s="198"/>
      <c r="HHK46" s="198"/>
      <c r="HHL46" s="198"/>
      <c r="HHM46" s="198"/>
      <c r="HHN46" s="827"/>
      <c r="HHO46" s="198"/>
      <c r="HHP46" s="826"/>
      <c r="HHQ46" s="1437"/>
      <c r="HHR46" s="1438"/>
      <c r="HHS46" s="198"/>
      <c r="HHT46" s="198"/>
      <c r="HHU46" s="198"/>
      <c r="HHV46" s="198"/>
      <c r="HHW46" s="198"/>
      <c r="HHX46" s="198"/>
      <c r="HHY46" s="827"/>
      <c r="HHZ46" s="198"/>
      <c r="HIA46" s="826"/>
      <c r="HIB46" s="1437"/>
      <c r="HIC46" s="1438"/>
      <c r="HID46" s="198"/>
      <c r="HIE46" s="198"/>
      <c r="HIF46" s="198"/>
      <c r="HIG46" s="198"/>
      <c r="HIH46" s="198"/>
      <c r="HII46" s="198"/>
      <c r="HIJ46" s="827"/>
      <c r="HIK46" s="198"/>
      <c r="HIL46" s="826"/>
      <c r="HIM46" s="1437"/>
      <c r="HIN46" s="1438"/>
      <c r="HIO46" s="198"/>
      <c r="HIP46" s="198"/>
      <c r="HIQ46" s="198"/>
      <c r="HIR46" s="198"/>
      <c r="HIS46" s="198"/>
      <c r="HIT46" s="198"/>
      <c r="HIU46" s="827"/>
      <c r="HIV46" s="198"/>
      <c r="HIW46" s="826"/>
      <c r="HIX46" s="1437"/>
      <c r="HIY46" s="1438"/>
      <c r="HIZ46" s="198"/>
      <c r="HJA46" s="198"/>
      <c r="HJB46" s="198"/>
      <c r="HJC46" s="198"/>
      <c r="HJD46" s="198"/>
      <c r="HJE46" s="198"/>
      <c r="HJF46" s="827"/>
      <c r="HJG46" s="198"/>
      <c r="HJH46" s="826"/>
      <c r="HJI46" s="1437"/>
      <c r="HJJ46" s="1438"/>
      <c r="HJK46" s="198"/>
      <c r="HJL46" s="198"/>
      <c r="HJM46" s="198"/>
      <c r="HJN46" s="198"/>
      <c r="HJO46" s="198"/>
      <c r="HJP46" s="198"/>
      <c r="HJQ46" s="827"/>
      <c r="HJR46" s="198"/>
      <c r="HJS46" s="826"/>
      <c r="HJT46" s="1437"/>
      <c r="HJU46" s="1438"/>
      <c r="HJV46" s="198"/>
      <c r="HJW46" s="198"/>
      <c r="HJX46" s="198"/>
      <c r="HJY46" s="198"/>
      <c r="HJZ46" s="198"/>
      <c r="HKA46" s="198"/>
      <c r="HKB46" s="827"/>
      <c r="HKC46" s="198"/>
      <c r="HKD46" s="826"/>
      <c r="HKE46" s="1437"/>
      <c r="HKF46" s="1438"/>
      <c r="HKG46" s="198"/>
      <c r="HKH46" s="198"/>
      <c r="HKI46" s="198"/>
      <c r="HKJ46" s="198"/>
      <c r="HKK46" s="198"/>
      <c r="HKL46" s="198"/>
      <c r="HKM46" s="827"/>
      <c r="HKN46" s="198"/>
      <c r="HKO46" s="826"/>
      <c r="HKP46" s="1437"/>
      <c r="HKQ46" s="1438"/>
      <c r="HKR46" s="198"/>
      <c r="HKS46" s="198"/>
      <c r="HKT46" s="198"/>
      <c r="HKU46" s="198"/>
      <c r="HKV46" s="198"/>
      <c r="HKW46" s="198"/>
      <c r="HKX46" s="827"/>
      <c r="HKY46" s="198"/>
      <c r="HKZ46" s="826"/>
      <c r="HLA46" s="1437"/>
      <c r="HLB46" s="1438"/>
      <c r="HLC46" s="198"/>
      <c r="HLD46" s="198"/>
      <c r="HLE46" s="198"/>
      <c r="HLF46" s="198"/>
      <c r="HLG46" s="198"/>
      <c r="HLH46" s="198"/>
      <c r="HLI46" s="827"/>
      <c r="HLJ46" s="198"/>
      <c r="HLK46" s="826"/>
      <c r="HLL46" s="1437"/>
      <c r="HLM46" s="1438"/>
      <c r="HLN46" s="198"/>
      <c r="HLO46" s="198"/>
      <c r="HLP46" s="198"/>
      <c r="HLQ46" s="198"/>
      <c r="HLR46" s="198"/>
      <c r="HLS46" s="198"/>
      <c r="HLT46" s="827"/>
      <c r="HLU46" s="198"/>
      <c r="HLV46" s="826"/>
      <c r="HLW46" s="1437"/>
      <c r="HLX46" s="1438"/>
      <c r="HLY46" s="198"/>
      <c r="HLZ46" s="198"/>
      <c r="HMA46" s="198"/>
      <c r="HMB46" s="198"/>
      <c r="HMC46" s="198"/>
      <c r="HMD46" s="198"/>
      <c r="HME46" s="827"/>
      <c r="HMF46" s="198"/>
      <c r="HMG46" s="826"/>
      <c r="HMH46" s="1437"/>
      <c r="HMI46" s="1438"/>
      <c r="HMJ46" s="198"/>
      <c r="HMK46" s="198"/>
      <c r="HML46" s="198"/>
      <c r="HMM46" s="198"/>
      <c r="HMN46" s="198"/>
      <c r="HMO46" s="198"/>
      <c r="HMP46" s="827"/>
      <c r="HMQ46" s="198"/>
      <c r="HMR46" s="826"/>
      <c r="HMS46" s="1437"/>
      <c r="HMT46" s="1438"/>
      <c r="HMU46" s="198"/>
      <c r="HMV46" s="198"/>
      <c r="HMW46" s="198"/>
      <c r="HMX46" s="198"/>
      <c r="HMY46" s="198"/>
      <c r="HMZ46" s="198"/>
      <c r="HNA46" s="827"/>
      <c r="HNB46" s="198"/>
      <c r="HNC46" s="826"/>
      <c r="HND46" s="1437"/>
      <c r="HNE46" s="1438"/>
      <c r="HNF46" s="198"/>
      <c r="HNG46" s="198"/>
      <c r="HNH46" s="198"/>
      <c r="HNI46" s="198"/>
      <c r="HNJ46" s="198"/>
      <c r="HNK46" s="198"/>
      <c r="HNL46" s="827"/>
      <c r="HNM46" s="198"/>
      <c r="HNN46" s="826"/>
      <c r="HNO46" s="1437"/>
      <c r="HNP46" s="1438"/>
      <c r="HNQ46" s="198"/>
      <c r="HNR46" s="198"/>
      <c r="HNS46" s="198"/>
      <c r="HNT46" s="198"/>
      <c r="HNU46" s="198"/>
      <c r="HNV46" s="198"/>
      <c r="HNW46" s="827"/>
      <c r="HNX46" s="198"/>
      <c r="HNY46" s="826"/>
      <c r="HNZ46" s="1437"/>
      <c r="HOA46" s="1438"/>
      <c r="HOB46" s="198"/>
      <c r="HOC46" s="198"/>
      <c r="HOD46" s="198"/>
      <c r="HOE46" s="198"/>
      <c r="HOF46" s="198"/>
      <c r="HOG46" s="198"/>
      <c r="HOH46" s="827"/>
      <c r="HOI46" s="198"/>
      <c r="HOJ46" s="826"/>
      <c r="HOK46" s="1437"/>
      <c r="HOL46" s="1438"/>
      <c r="HOM46" s="198"/>
      <c r="HON46" s="198"/>
      <c r="HOO46" s="198"/>
      <c r="HOP46" s="198"/>
      <c r="HOQ46" s="198"/>
      <c r="HOR46" s="198"/>
      <c r="HOS46" s="827"/>
      <c r="HOT46" s="198"/>
      <c r="HOU46" s="826"/>
      <c r="HOV46" s="1437"/>
      <c r="HOW46" s="1438"/>
      <c r="HOX46" s="198"/>
      <c r="HOY46" s="198"/>
      <c r="HOZ46" s="198"/>
      <c r="HPA46" s="198"/>
      <c r="HPB46" s="198"/>
      <c r="HPC46" s="198"/>
      <c r="HPD46" s="827"/>
      <c r="HPE46" s="198"/>
      <c r="HPF46" s="826"/>
      <c r="HPG46" s="1437"/>
      <c r="HPH46" s="1438"/>
      <c r="HPI46" s="198"/>
      <c r="HPJ46" s="198"/>
      <c r="HPK46" s="198"/>
      <c r="HPL46" s="198"/>
      <c r="HPM46" s="198"/>
      <c r="HPN46" s="198"/>
      <c r="HPO46" s="827"/>
      <c r="HPP46" s="198"/>
      <c r="HPQ46" s="826"/>
      <c r="HPR46" s="1437"/>
      <c r="HPS46" s="1438"/>
      <c r="HPT46" s="198"/>
      <c r="HPU46" s="198"/>
      <c r="HPV46" s="198"/>
      <c r="HPW46" s="198"/>
      <c r="HPX46" s="198"/>
      <c r="HPY46" s="198"/>
      <c r="HPZ46" s="827"/>
      <c r="HQA46" s="198"/>
      <c r="HQB46" s="826"/>
      <c r="HQC46" s="1437"/>
      <c r="HQD46" s="1438"/>
      <c r="HQE46" s="198"/>
      <c r="HQF46" s="198"/>
      <c r="HQG46" s="198"/>
      <c r="HQH46" s="198"/>
      <c r="HQI46" s="198"/>
      <c r="HQJ46" s="198"/>
      <c r="HQK46" s="827"/>
      <c r="HQL46" s="198"/>
      <c r="HQM46" s="826"/>
      <c r="HQN46" s="1437"/>
      <c r="HQO46" s="1438"/>
      <c r="HQP46" s="198"/>
      <c r="HQQ46" s="198"/>
      <c r="HQR46" s="198"/>
      <c r="HQS46" s="198"/>
      <c r="HQT46" s="198"/>
      <c r="HQU46" s="198"/>
      <c r="HQV46" s="827"/>
      <c r="HQW46" s="198"/>
      <c r="HQX46" s="826"/>
      <c r="HQY46" s="1437"/>
      <c r="HQZ46" s="1438"/>
      <c r="HRA46" s="198"/>
      <c r="HRB46" s="198"/>
      <c r="HRC46" s="198"/>
      <c r="HRD46" s="198"/>
      <c r="HRE46" s="198"/>
      <c r="HRF46" s="198"/>
      <c r="HRG46" s="827"/>
      <c r="HRH46" s="198"/>
      <c r="HRI46" s="826"/>
      <c r="HRJ46" s="1437"/>
      <c r="HRK46" s="1438"/>
      <c r="HRL46" s="198"/>
      <c r="HRM46" s="198"/>
      <c r="HRN46" s="198"/>
      <c r="HRO46" s="198"/>
      <c r="HRP46" s="198"/>
      <c r="HRQ46" s="198"/>
      <c r="HRR46" s="827"/>
      <c r="HRS46" s="198"/>
      <c r="HRT46" s="826"/>
      <c r="HRU46" s="1437"/>
      <c r="HRV46" s="1438"/>
      <c r="HRW46" s="198"/>
      <c r="HRX46" s="198"/>
      <c r="HRY46" s="198"/>
      <c r="HRZ46" s="198"/>
      <c r="HSA46" s="198"/>
      <c r="HSB46" s="198"/>
      <c r="HSC46" s="827"/>
      <c r="HSD46" s="198"/>
      <c r="HSE46" s="826"/>
      <c r="HSF46" s="1437"/>
      <c r="HSG46" s="1438"/>
      <c r="HSH46" s="198"/>
      <c r="HSI46" s="198"/>
      <c r="HSJ46" s="198"/>
      <c r="HSK46" s="198"/>
      <c r="HSL46" s="198"/>
      <c r="HSM46" s="198"/>
      <c r="HSN46" s="827"/>
      <c r="HSO46" s="198"/>
      <c r="HSP46" s="826"/>
      <c r="HSQ46" s="1437"/>
      <c r="HSR46" s="1438"/>
      <c r="HSS46" s="198"/>
      <c r="HST46" s="198"/>
      <c r="HSU46" s="198"/>
      <c r="HSV46" s="198"/>
      <c r="HSW46" s="198"/>
      <c r="HSX46" s="198"/>
      <c r="HSY46" s="827"/>
      <c r="HSZ46" s="198"/>
      <c r="HTA46" s="826"/>
      <c r="HTB46" s="1437"/>
      <c r="HTC46" s="1438"/>
      <c r="HTD46" s="198"/>
      <c r="HTE46" s="198"/>
      <c r="HTF46" s="198"/>
      <c r="HTG46" s="198"/>
      <c r="HTH46" s="198"/>
      <c r="HTI46" s="198"/>
      <c r="HTJ46" s="827"/>
      <c r="HTK46" s="198"/>
      <c r="HTL46" s="826"/>
      <c r="HTM46" s="1437"/>
      <c r="HTN46" s="1438"/>
      <c r="HTO46" s="198"/>
      <c r="HTP46" s="198"/>
      <c r="HTQ46" s="198"/>
      <c r="HTR46" s="198"/>
      <c r="HTS46" s="198"/>
      <c r="HTT46" s="198"/>
      <c r="HTU46" s="827"/>
      <c r="HTV46" s="198"/>
      <c r="HTW46" s="826"/>
      <c r="HTX46" s="1437"/>
      <c r="HTY46" s="1438"/>
      <c r="HTZ46" s="198"/>
      <c r="HUA46" s="198"/>
      <c r="HUB46" s="198"/>
      <c r="HUC46" s="198"/>
      <c r="HUD46" s="198"/>
      <c r="HUE46" s="198"/>
      <c r="HUF46" s="827"/>
      <c r="HUG46" s="198"/>
      <c r="HUH46" s="826"/>
      <c r="HUI46" s="1437"/>
      <c r="HUJ46" s="1438"/>
      <c r="HUK46" s="198"/>
      <c r="HUL46" s="198"/>
      <c r="HUM46" s="198"/>
      <c r="HUN46" s="198"/>
      <c r="HUO46" s="198"/>
      <c r="HUP46" s="198"/>
      <c r="HUQ46" s="827"/>
      <c r="HUR46" s="198"/>
      <c r="HUS46" s="826"/>
      <c r="HUT46" s="1437"/>
      <c r="HUU46" s="1438"/>
      <c r="HUV46" s="198"/>
      <c r="HUW46" s="198"/>
      <c r="HUX46" s="198"/>
      <c r="HUY46" s="198"/>
      <c r="HUZ46" s="198"/>
      <c r="HVA46" s="198"/>
      <c r="HVB46" s="827"/>
      <c r="HVC46" s="198"/>
      <c r="HVD46" s="826"/>
      <c r="HVE46" s="1437"/>
      <c r="HVF46" s="1438"/>
      <c r="HVG46" s="198"/>
      <c r="HVH46" s="198"/>
      <c r="HVI46" s="198"/>
      <c r="HVJ46" s="198"/>
      <c r="HVK46" s="198"/>
      <c r="HVL46" s="198"/>
      <c r="HVM46" s="827"/>
      <c r="HVN46" s="198"/>
      <c r="HVO46" s="826"/>
      <c r="HVP46" s="1437"/>
      <c r="HVQ46" s="1438"/>
      <c r="HVR46" s="198"/>
      <c r="HVS46" s="198"/>
      <c r="HVT46" s="198"/>
      <c r="HVU46" s="198"/>
      <c r="HVV46" s="198"/>
      <c r="HVW46" s="198"/>
      <c r="HVX46" s="827"/>
      <c r="HVY46" s="198"/>
      <c r="HVZ46" s="826"/>
      <c r="HWA46" s="1437"/>
      <c r="HWB46" s="1438"/>
      <c r="HWC46" s="198"/>
      <c r="HWD46" s="198"/>
      <c r="HWE46" s="198"/>
      <c r="HWF46" s="198"/>
      <c r="HWG46" s="198"/>
      <c r="HWH46" s="198"/>
      <c r="HWI46" s="827"/>
      <c r="HWJ46" s="198"/>
      <c r="HWK46" s="826"/>
      <c r="HWL46" s="1437"/>
      <c r="HWM46" s="1438"/>
      <c r="HWN46" s="198"/>
      <c r="HWO46" s="198"/>
      <c r="HWP46" s="198"/>
      <c r="HWQ46" s="198"/>
      <c r="HWR46" s="198"/>
      <c r="HWS46" s="198"/>
      <c r="HWT46" s="827"/>
      <c r="HWU46" s="198"/>
      <c r="HWV46" s="826"/>
      <c r="HWW46" s="1437"/>
      <c r="HWX46" s="1438"/>
      <c r="HWY46" s="198"/>
      <c r="HWZ46" s="198"/>
      <c r="HXA46" s="198"/>
      <c r="HXB46" s="198"/>
      <c r="HXC46" s="198"/>
      <c r="HXD46" s="198"/>
      <c r="HXE46" s="827"/>
      <c r="HXF46" s="198"/>
      <c r="HXG46" s="826"/>
      <c r="HXH46" s="1437"/>
      <c r="HXI46" s="1438"/>
      <c r="HXJ46" s="198"/>
      <c r="HXK46" s="198"/>
      <c r="HXL46" s="198"/>
      <c r="HXM46" s="198"/>
      <c r="HXN46" s="198"/>
      <c r="HXO46" s="198"/>
      <c r="HXP46" s="827"/>
      <c r="HXQ46" s="198"/>
      <c r="HXR46" s="826"/>
      <c r="HXS46" s="1437"/>
      <c r="HXT46" s="1438"/>
      <c r="HXU46" s="198"/>
      <c r="HXV46" s="198"/>
      <c r="HXW46" s="198"/>
      <c r="HXX46" s="198"/>
      <c r="HXY46" s="198"/>
      <c r="HXZ46" s="198"/>
      <c r="HYA46" s="827"/>
      <c r="HYB46" s="198"/>
      <c r="HYC46" s="826"/>
      <c r="HYD46" s="1437"/>
      <c r="HYE46" s="1438"/>
      <c r="HYF46" s="198"/>
      <c r="HYG46" s="198"/>
      <c r="HYH46" s="198"/>
      <c r="HYI46" s="198"/>
      <c r="HYJ46" s="198"/>
      <c r="HYK46" s="198"/>
      <c r="HYL46" s="827"/>
      <c r="HYM46" s="198"/>
      <c r="HYN46" s="826"/>
      <c r="HYO46" s="1437"/>
      <c r="HYP46" s="1438"/>
      <c r="HYQ46" s="198"/>
      <c r="HYR46" s="198"/>
      <c r="HYS46" s="198"/>
      <c r="HYT46" s="198"/>
      <c r="HYU46" s="198"/>
      <c r="HYV46" s="198"/>
      <c r="HYW46" s="827"/>
      <c r="HYX46" s="198"/>
      <c r="HYY46" s="826"/>
      <c r="HYZ46" s="1437"/>
      <c r="HZA46" s="1438"/>
      <c r="HZB46" s="198"/>
      <c r="HZC46" s="198"/>
      <c r="HZD46" s="198"/>
      <c r="HZE46" s="198"/>
      <c r="HZF46" s="198"/>
      <c r="HZG46" s="198"/>
      <c r="HZH46" s="827"/>
      <c r="HZI46" s="198"/>
      <c r="HZJ46" s="826"/>
      <c r="HZK46" s="1437"/>
      <c r="HZL46" s="1438"/>
      <c r="HZM46" s="198"/>
      <c r="HZN46" s="198"/>
      <c r="HZO46" s="198"/>
      <c r="HZP46" s="198"/>
      <c r="HZQ46" s="198"/>
      <c r="HZR46" s="198"/>
      <c r="HZS46" s="827"/>
      <c r="HZT46" s="198"/>
      <c r="HZU46" s="826"/>
      <c r="HZV46" s="1437"/>
      <c r="HZW46" s="1438"/>
      <c r="HZX46" s="198"/>
      <c r="HZY46" s="198"/>
      <c r="HZZ46" s="198"/>
      <c r="IAA46" s="198"/>
      <c r="IAB46" s="198"/>
      <c r="IAC46" s="198"/>
      <c r="IAD46" s="827"/>
      <c r="IAE46" s="198"/>
      <c r="IAF46" s="826"/>
      <c r="IAG46" s="1437"/>
      <c r="IAH46" s="1438"/>
      <c r="IAI46" s="198"/>
      <c r="IAJ46" s="198"/>
      <c r="IAK46" s="198"/>
      <c r="IAL46" s="198"/>
      <c r="IAM46" s="198"/>
      <c r="IAN46" s="198"/>
      <c r="IAO46" s="827"/>
      <c r="IAP46" s="198"/>
      <c r="IAQ46" s="826"/>
      <c r="IAR46" s="1437"/>
      <c r="IAS46" s="1438"/>
      <c r="IAT46" s="198"/>
      <c r="IAU46" s="198"/>
      <c r="IAV46" s="198"/>
      <c r="IAW46" s="198"/>
      <c r="IAX46" s="198"/>
      <c r="IAY46" s="198"/>
      <c r="IAZ46" s="827"/>
      <c r="IBA46" s="198"/>
      <c r="IBB46" s="826"/>
      <c r="IBC46" s="1437"/>
      <c r="IBD46" s="1438"/>
      <c r="IBE46" s="198"/>
      <c r="IBF46" s="198"/>
      <c r="IBG46" s="198"/>
      <c r="IBH46" s="198"/>
      <c r="IBI46" s="198"/>
      <c r="IBJ46" s="198"/>
      <c r="IBK46" s="827"/>
      <c r="IBL46" s="198"/>
      <c r="IBM46" s="826"/>
      <c r="IBN46" s="1437"/>
      <c r="IBO46" s="1438"/>
      <c r="IBP46" s="198"/>
      <c r="IBQ46" s="198"/>
      <c r="IBR46" s="198"/>
      <c r="IBS46" s="198"/>
      <c r="IBT46" s="198"/>
      <c r="IBU46" s="198"/>
      <c r="IBV46" s="827"/>
      <c r="IBW46" s="198"/>
      <c r="IBX46" s="826"/>
      <c r="IBY46" s="1437"/>
      <c r="IBZ46" s="1438"/>
      <c r="ICA46" s="198"/>
      <c r="ICB46" s="198"/>
      <c r="ICC46" s="198"/>
      <c r="ICD46" s="198"/>
      <c r="ICE46" s="198"/>
      <c r="ICF46" s="198"/>
      <c r="ICG46" s="827"/>
      <c r="ICH46" s="198"/>
      <c r="ICI46" s="826"/>
      <c r="ICJ46" s="1437"/>
      <c r="ICK46" s="1438"/>
      <c r="ICL46" s="198"/>
      <c r="ICM46" s="198"/>
      <c r="ICN46" s="198"/>
      <c r="ICO46" s="198"/>
      <c r="ICP46" s="198"/>
      <c r="ICQ46" s="198"/>
      <c r="ICR46" s="827"/>
      <c r="ICS46" s="198"/>
      <c r="ICT46" s="826"/>
      <c r="ICU46" s="1437"/>
      <c r="ICV46" s="1438"/>
      <c r="ICW46" s="198"/>
      <c r="ICX46" s="198"/>
      <c r="ICY46" s="198"/>
      <c r="ICZ46" s="198"/>
      <c r="IDA46" s="198"/>
      <c r="IDB46" s="198"/>
      <c r="IDC46" s="827"/>
      <c r="IDD46" s="198"/>
      <c r="IDE46" s="826"/>
      <c r="IDF46" s="1437"/>
      <c r="IDG46" s="1438"/>
      <c r="IDH46" s="198"/>
      <c r="IDI46" s="198"/>
      <c r="IDJ46" s="198"/>
      <c r="IDK46" s="198"/>
      <c r="IDL46" s="198"/>
      <c r="IDM46" s="198"/>
      <c r="IDN46" s="827"/>
      <c r="IDO46" s="198"/>
      <c r="IDP46" s="826"/>
      <c r="IDQ46" s="1437"/>
      <c r="IDR46" s="1438"/>
      <c r="IDS46" s="198"/>
      <c r="IDT46" s="198"/>
      <c r="IDU46" s="198"/>
      <c r="IDV46" s="198"/>
      <c r="IDW46" s="198"/>
      <c r="IDX46" s="198"/>
      <c r="IDY46" s="827"/>
      <c r="IDZ46" s="198"/>
      <c r="IEA46" s="826"/>
      <c r="IEB46" s="1437"/>
      <c r="IEC46" s="1438"/>
      <c r="IED46" s="198"/>
      <c r="IEE46" s="198"/>
      <c r="IEF46" s="198"/>
      <c r="IEG46" s="198"/>
      <c r="IEH46" s="198"/>
      <c r="IEI46" s="198"/>
      <c r="IEJ46" s="827"/>
      <c r="IEK46" s="198"/>
      <c r="IEL46" s="826"/>
      <c r="IEM46" s="1437"/>
      <c r="IEN46" s="1438"/>
      <c r="IEO46" s="198"/>
      <c r="IEP46" s="198"/>
      <c r="IEQ46" s="198"/>
      <c r="IER46" s="198"/>
      <c r="IES46" s="198"/>
      <c r="IET46" s="198"/>
      <c r="IEU46" s="827"/>
      <c r="IEV46" s="198"/>
      <c r="IEW46" s="826"/>
      <c r="IEX46" s="1437"/>
      <c r="IEY46" s="1438"/>
      <c r="IEZ46" s="198"/>
      <c r="IFA46" s="198"/>
      <c r="IFB46" s="198"/>
      <c r="IFC46" s="198"/>
      <c r="IFD46" s="198"/>
      <c r="IFE46" s="198"/>
      <c r="IFF46" s="827"/>
      <c r="IFG46" s="198"/>
      <c r="IFH46" s="826"/>
      <c r="IFI46" s="1437"/>
      <c r="IFJ46" s="1438"/>
      <c r="IFK46" s="198"/>
      <c r="IFL46" s="198"/>
      <c r="IFM46" s="198"/>
      <c r="IFN46" s="198"/>
      <c r="IFO46" s="198"/>
      <c r="IFP46" s="198"/>
      <c r="IFQ46" s="827"/>
      <c r="IFR46" s="198"/>
      <c r="IFS46" s="826"/>
      <c r="IFT46" s="1437"/>
      <c r="IFU46" s="1438"/>
      <c r="IFV46" s="198"/>
      <c r="IFW46" s="198"/>
      <c r="IFX46" s="198"/>
      <c r="IFY46" s="198"/>
      <c r="IFZ46" s="198"/>
      <c r="IGA46" s="198"/>
      <c r="IGB46" s="827"/>
      <c r="IGC46" s="198"/>
      <c r="IGD46" s="826"/>
      <c r="IGE46" s="1437"/>
      <c r="IGF46" s="1438"/>
      <c r="IGG46" s="198"/>
      <c r="IGH46" s="198"/>
      <c r="IGI46" s="198"/>
      <c r="IGJ46" s="198"/>
      <c r="IGK46" s="198"/>
      <c r="IGL46" s="198"/>
      <c r="IGM46" s="827"/>
      <c r="IGN46" s="198"/>
      <c r="IGO46" s="826"/>
      <c r="IGP46" s="1437"/>
      <c r="IGQ46" s="1438"/>
      <c r="IGR46" s="198"/>
      <c r="IGS46" s="198"/>
      <c r="IGT46" s="198"/>
      <c r="IGU46" s="198"/>
      <c r="IGV46" s="198"/>
      <c r="IGW46" s="198"/>
      <c r="IGX46" s="827"/>
      <c r="IGY46" s="198"/>
      <c r="IGZ46" s="826"/>
      <c r="IHA46" s="1437"/>
      <c r="IHB46" s="1438"/>
      <c r="IHC46" s="198"/>
      <c r="IHD46" s="198"/>
      <c r="IHE46" s="198"/>
      <c r="IHF46" s="198"/>
      <c r="IHG46" s="198"/>
      <c r="IHH46" s="198"/>
      <c r="IHI46" s="827"/>
      <c r="IHJ46" s="198"/>
      <c r="IHK46" s="826"/>
      <c r="IHL46" s="1437"/>
      <c r="IHM46" s="1438"/>
      <c r="IHN46" s="198"/>
      <c r="IHO46" s="198"/>
      <c r="IHP46" s="198"/>
      <c r="IHQ46" s="198"/>
      <c r="IHR46" s="198"/>
      <c r="IHS46" s="198"/>
      <c r="IHT46" s="827"/>
      <c r="IHU46" s="198"/>
      <c r="IHV46" s="826"/>
      <c r="IHW46" s="1437"/>
      <c r="IHX46" s="1438"/>
      <c r="IHY46" s="198"/>
      <c r="IHZ46" s="198"/>
      <c r="IIA46" s="198"/>
      <c r="IIB46" s="198"/>
      <c r="IIC46" s="198"/>
      <c r="IID46" s="198"/>
      <c r="IIE46" s="827"/>
      <c r="IIF46" s="198"/>
      <c r="IIG46" s="826"/>
      <c r="IIH46" s="1437"/>
      <c r="III46" s="1438"/>
      <c r="IIJ46" s="198"/>
      <c r="IIK46" s="198"/>
      <c r="IIL46" s="198"/>
      <c r="IIM46" s="198"/>
      <c r="IIN46" s="198"/>
      <c r="IIO46" s="198"/>
      <c r="IIP46" s="827"/>
      <c r="IIQ46" s="198"/>
      <c r="IIR46" s="826"/>
      <c r="IIS46" s="1437"/>
      <c r="IIT46" s="1438"/>
      <c r="IIU46" s="198"/>
      <c r="IIV46" s="198"/>
      <c r="IIW46" s="198"/>
      <c r="IIX46" s="198"/>
      <c r="IIY46" s="198"/>
      <c r="IIZ46" s="198"/>
      <c r="IJA46" s="827"/>
      <c r="IJB46" s="198"/>
      <c r="IJC46" s="826"/>
      <c r="IJD46" s="1437"/>
      <c r="IJE46" s="1438"/>
      <c r="IJF46" s="198"/>
      <c r="IJG46" s="198"/>
      <c r="IJH46" s="198"/>
      <c r="IJI46" s="198"/>
      <c r="IJJ46" s="198"/>
      <c r="IJK46" s="198"/>
      <c r="IJL46" s="827"/>
      <c r="IJM46" s="198"/>
      <c r="IJN46" s="826"/>
      <c r="IJO46" s="1437"/>
      <c r="IJP46" s="1438"/>
      <c r="IJQ46" s="198"/>
      <c r="IJR46" s="198"/>
      <c r="IJS46" s="198"/>
      <c r="IJT46" s="198"/>
      <c r="IJU46" s="198"/>
      <c r="IJV46" s="198"/>
      <c r="IJW46" s="827"/>
      <c r="IJX46" s="198"/>
      <c r="IJY46" s="826"/>
      <c r="IJZ46" s="1437"/>
      <c r="IKA46" s="1438"/>
      <c r="IKB46" s="198"/>
      <c r="IKC46" s="198"/>
      <c r="IKD46" s="198"/>
      <c r="IKE46" s="198"/>
      <c r="IKF46" s="198"/>
      <c r="IKG46" s="198"/>
      <c r="IKH46" s="827"/>
      <c r="IKI46" s="198"/>
      <c r="IKJ46" s="826"/>
      <c r="IKK46" s="1437"/>
      <c r="IKL46" s="1438"/>
      <c r="IKM46" s="198"/>
      <c r="IKN46" s="198"/>
      <c r="IKO46" s="198"/>
      <c r="IKP46" s="198"/>
      <c r="IKQ46" s="198"/>
      <c r="IKR46" s="198"/>
      <c r="IKS46" s="827"/>
      <c r="IKT46" s="198"/>
      <c r="IKU46" s="826"/>
      <c r="IKV46" s="1437"/>
      <c r="IKW46" s="1438"/>
      <c r="IKX46" s="198"/>
      <c r="IKY46" s="198"/>
      <c r="IKZ46" s="198"/>
      <c r="ILA46" s="198"/>
      <c r="ILB46" s="198"/>
      <c r="ILC46" s="198"/>
      <c r="ILD46" s="827"/>
      <c r="ILE46" s="198"/>
      <c r="ILF46" s="826"/>
      <c r="ILG46" s="1437"/>
      <c r="ILH46" s="1438"/>
      <c r="ILI46" s="198"/>
      <c r="ILJ46" s="198"/>
      <c r="ILK46" s="198"/>
      <c r="ILL46" s="198"/>
      <c r="ILM46" s="198"/>
      <c r="ILN46" s="198"/>
      <c r="ILO46" s="827"/>
      <c r="ILP46" s="198"/>
      <c r="ILQ46" s="826"/>
      <c r="ILR46" s="1437"/>
      <c r="ILS46" s="1438"/>
      <c r="ILT46" s="198"/>
      <c r="ILU46" s="198"/>
      <c r="ILV46" s="198"/>
      <c r="ILW46" s="198"/>
      <c r="ILX46" s="198"/>
      <c r="ILY46" s="198"/>
      <c r="ILZ46" s="827"/>
      <c r="IMA46" s="198"/>
      <c r="IMB46" s="826"/>
      <c r="IMC46" s="1437"/>
      <c r="IMD46" s="1438"/>
      <c r="IME46" s="198"/>
      <c r="IMF46" s="198"/>
      <c r="IMG46" s="198"/>
      <c r="IMH46" s="198"/>
      <c r="IMI46" s="198"/>
      <c r="IMJ46" s="198"/>
      <c r="IMK46" s="827"/>
      <c r="IML46" s="198"/>
      <c r="IMM46" s="826"/>
      <c r="IMN46" s="1437"/>
      <c r="IMO46" s="1438"/>
      <c r="IMP46" s="198"/>
      <c r="IMQ46" s="198"/>
      <c r="IMR46" s="198"/>
      <c r="IMS46" s="198"/>
      <c r="IMT46" s="198"/>
      <c r="IMU46" s="198"/>
      <c r="IMV46" s="827"/>
      <c r="IMW46" s="198"/>
      <c r="IMX46" s="826"/>
      <c r="IMY46" s="1437"/>
      <c r="IMZ46" s="1438"/>
      <c r="INA46" s="198"/>
      <c r="INB46" s="198"/>
      <c r="INC46" s="198"/>
      <c r="IND46" s="198"/>
      <c r="INE46" s="198"/>
      <c r="INF46" s="198"/>
      <c r="ING46" s="827"/>
      <c r="INH46" s="198"/>
      <c r="INI46" s="826"/>
      <c r="INJ46" s="1437"/>
      <c r="INK46" s="1438"/>
      <c r="INL46" s="198"/>
      <c r="INM46" s="198"/>
      <c r="INN46" s="198"/>
      <c r="INO46" s="198"/>
      <c r="INP46" s="198"/>
      <c r="INQ46" s="198"/>
      <c r="INR46" s="827"/>
      <c r="INS46" s="198"/>
      <c r="INT46" s="826"/>
      <c r="INU46" s="1437"/>
      <c r="INV46" s="1438"/>
      <c r="INW46" s="198"/>
      <c r="INX46" s="198"/>
      <c r="INY46" s="198"/>
      <c r="INZ46" s="198"/>
      <c r="IOA46" s="198"/>
      <c r="IOB46" s="198"/>
      <c r="IOC46" s="827"/>
      <c r="IOD46" s="198"/>
      <c r="IOE46" s="826"/>
      <c r="IOF46" s="1437"/>
      <c r="IOG46" s="1438"/>
      <c r="IOH46" s="198"/>
      <c r="IOI46" s="198"/>
      <c r="IOJ46" s="198"/>
      <c r="IOK46" s="198"/>
      <c r="IOL46" s="198"/>
      <c r="IOM46" s="198"/>
      <c r="ION46" s="827"/>
      <c r="IOO46" s="198"/>
      <c r="IOP46" s="826"/>
      <c r="IOQ46" s="1437"/>
      <c r="IOR46" s="1438"/>
      <c r="IOS46" s="198"/>
      <c r="IOT46" s="198"/>
      <c r="IOU46" s="198"/>
      <c r="IOV46" s="198"/>
      <c r="IOW46" s="198"/>
      <c r="IOX46" s="198"/>
      <c r="IOY46" s="827"/>
      <c r="IOZ46" s="198"/>
      <c r="IPA46" s="826"/>
      <c r="IPB46" s="1437"/>
      <c r="IPC46" s="1438"/>
      <c r="IPD46" s="198"/>
      <c r="IPE46" s="198"/>
      <c r="IPF46" s="198"/>
      <c r="IPG46" s="198"/>
      <c r="IPH46" s="198"/>
      <c r="IPI46" s="198"/>
      <c r="IPJ46" s="827"/>
      <c r="IPK46" s="198"/>
      <c r="IPL46" s="826"/>
      <c r="IPM46" s="1437"/>
      <c r="IPN46" s="1438"/>
      <c r="IPO46" s="198"/>
      <c r="IPP46" s="198"/>
      <c r="IPQ46" s="198"/>
      <c r="IPR46" s="198"/>
      <c r="IPS46" s="198"/>
      <c r="IPT46" s="198"/>
      <c r="IPU46" s="827"/>
      <c r="IPV46" s="198"/>
      <c r="IPW46" s="826"/>
      <c r="IPX46" s="1437"/>
      <c r="IPY46" s="1438"/>
      <c r="IPZ46" s="198"/>
      <c r="IQA46" s="198"/>
      <c r="IQB46" s="198"/>
      <c r="IQC46" s="198"/>
      <c r="IQD46" s="198"/>
      <c r="IQE46" s="198"/>
      <c r="IQF46" s="827"/>
      <c r="IQG46" s="198"/>
      <c r="IQH46" s="826"/>
      <c r="IQI46" s="1437"/>
      <c r="IQJ46" s="1438"/>
      <c r="IQK46" s="198"/>
      <c r="IQL46" s="198"/>
      <c r="IQM46" s="198"/>
      <c r="IQN46" s="198"/>
      <c r="IQO46" s="198"/>
      <c r="IQP46" s="198"/>
      <c r="IQQ46" s="827"/>
      <c r="IQR46" s="198"/>
      <c r="IQS46" s="826"/>
      <c r="IQT46" s="1437"/>
      <c r="IQU46" s="1438"/>
      <c r="IQV46" s="198"/>
      <c r="IQW46" s="198"/>
      <c r="IQX46" s="198"/>
      <c r="IQY46" s="198"/>
      <c r="IQZ46" s="198"/>
      <c r="IRA46" s="198"/>
      <c r="IRB46" s="827"/>
      <c r="IRC46" s="198"/>
      <c r="IRD46" s="826"/>
      <c r="IRE46" s="1437"/>
      <c r="IRF46" s="1438"/>
      <c r="IRG46" s="198"/>
      <c r="IRH46" s="198"/>
      <c r="IRI46" s="198"/>
      <c r="IRJ46" s="198"/>
      <c r="IRK46" s="198"/>
      <c r="IRL46" s="198"/>
      <c r="IRM46" s="827"/>
      <c r="IRN46" s="198"/>
      <c r="IRO46" s="826"/>
      <c r="IRP46" s="1437"/>
      <c r="IRQ46" s="1438"/>
      <c r="IRR46" s="198"/>
      <c r="IRS46" s="198"/>
      <c r="IRT46" s="198"/>
      <c r="IRU46" s="198"/>
      <c r="IRV46" s="198"/>
      <c r="IRW46" s="198"/>
      <c r="IRX46" s="827"/>
      <c r="IRY46" s="198"/>
      <c r="IRZ46" s="826"/>
      <c r="ISA46" s="1437"/>
      <c r="ISB46" s="1438"/>
      <c r="ISC46" s="198"/>
      <c r="ISD46" s="198"/>
      <c r="ISE46" s="198"/>
      <c r="ISF46" s="198"/>
      <c r="ISG46" s="198"/>
      <c r="ISH46" s="198"/>
      <c r="ISI46" s="827"/>
      <c r="ISJ46" s="198"/>
      <c r="ISK46" s="826"/>
      <c r="ISL46" s="1437"/>
      <c r="ISM46" s="1438"/>
      <c r="ISN46" s="198"/>
      <c r="ISO46" s="198"/>
      <c r="ISP46" s="198"/>
      <c r="ISQ46" s="198"/>
      <c r="ISR46" s="198"/>
      <c r="ISS46" s="198"/>
      <c r="IST46" s="827"/>
      <c r="ISU46" s="198"/>
      <c r="ISV46" s="826"/>
      <c r="ISW46" s="1437"/>
      <c r="ISX46" s="1438"/>
      <c r="ISY46" s="198"/>
      <c r="ISZ46" s="198"/>
      <c r="ITA46" s="198"/>
      <c r="ITB46" s="198"/>
      <c r="ITC46" s="198"/>
      <c r="ITD46" s="198"/>
      <c r="ITE46" s="827"/>
      <c r="ITF46" s="198"/>
      <c r="ITG46" s="826"/>
      <c r="ITH46" s="1437"/>
      <c r="ITI46" s="1438"/>
      <c r="ITJ46" s="198"/>
      <c r="ITK46" s="198"/>
      <c r="ITL46" s="198"/>
      <c r="ITM46" s="198"/>
      <c r="ITN46" s="198"/>
      <c r="ITO46" s="198"/>
      <c r="ITP46" s="827"/>
      <c r="ITQ46" s="198"/>
      <c r="ITR46" s="826"/>
      <c r="ITS46" s="1437"/>
      <c r="ITT46" s="1438"/>
      <c r="ITU46" s="198"/>
      <c r="ITV46" s="198"/>
      <c r="ITW46" s="198"/>
      <c r="ITX46" s="198"/>
      <c r="ITY46" s="198"/>
      <c r="ITZ46" s="198"/>
      <c r="IUA46" s="827"/>
      <c r="IUB46" s="198"/>
      <c r="IUC46" s="826"/>
      <c r="IUD46" s="1437"/>
      <c r="IUE46" s="1438"/>
      <c r="IUF46" s="198"/>
      <c r="IUG46" s="198"/>
      <c r="IUH46" s="198"/>
      <c r="IUI46" s="198"/>
      <c r="IUJ46" s="198"/>
      <c r="IUK46" s="198"/>
      <c r="IUL46" s="827"/>
      <c r="IUM46" s="198"/>
      <c r="IUN46" s="826"/>
      <c r="IUO46" s="1437"/>
      <c r="IUP46" s="1438"/>
      <c r="IUQ46" s="198"/>
      <c r="IUR46" s="198"/>
      <c r="IUS46" s="198"/>
      <c r="IUT46" s="198"/>
      <c r="IUU46" s="198"/>
      <c r="IUV46" s="198"/>
      <c r="IUW46" s="827"/>
      <c r="IUX46" s="198"/>
      <c r="IUY46" s="826"/>
      <c r="IUZ46" s="1437"/>
      <c r="IVA46" s="1438"/>
      <c r="IVB46" s="198"/>
      <c r="IVC46" s="198"/>
      <c r="IVD46" s="198"/>
      <c r="IVE46" s="198"/>
      <c r="IVF46" s="198"/>
      <c r="IVG46" s="198"/>
      <c r="IVH46" s="827"/>
      <c r="IVI46" s="198"/>
      <c r="IVJ46" s="826"/>
      <c r="IVK46" s="1437"/>
      <c r="IVL46" s="1438"/>
      <c r="IVM46" s="198"/>
      <c r="IVN46" s="198"/>
      <c r="IVO46" s="198"/>
      <c r="IVP46" s="198"/>
      <c r="IVQ46" s="198"/>
      <c r="IVR46" s="198"/>
      <c r="IVS46" s="827"/>
      <c r="IVT46" s="198"/>
      <c r="IVU46" s="826"/>
      <c r="IVV46" s="1437"/>
      <c r="IVW46" s="1438"/>
      <c r="IVX46" s="198"/>
      <c r="IVY46" s="198"/>
      <c r="IVZ46" s="198"/>
      <c r="IWA46" s="198"/>
      <c r="IWB46" s="198"/>
      <c r="IWC46" s="198"/>
      <c r="IWD46" s="827"/>
      <c r="IWE46" s="198"/>
      <c r="IWF46" s="826"/>
      <c r="IWG46" s="1437"/>
      <c r="IWH46" s="1438"/>
      <c r="IWI46" s="198"/>
      <c r="IWJ46" s="198"/>
      <c r="IWK46" s="198"/>
      <c r="IWL46" s="198"/>
      <c r="IWM46" s="198"/>
      <c r="IWN46" s="198"/>
      <c r="IWO46" s="827"/>
      <c r="IWP46" s="198"/>
      <c r="IWQ46" s="826"/>
      <c r="IWR46" s="1437"/>
      <c r="IWS46" s="1438"/>
      <c r="IWT46" s="198"/>
      <c r="IWU46" s="198"/>
      <c r="IWV46" s="198"/>
      <c r="IWW46" s="198"/>
      <c r="IWX46" s="198"/>
      <c r="IWY46" s="198"/>
      <c r="IWZ46" s="827"/>
      <c r="IXA46" s="198"/>
      <c r="IXB46" s="826"/>
      <c r="IXC46" s="1437"/>
      <c r="IXD46" s="1438"/>
      <c r="IXE46" s="198"/>
      <c r="IXF46" s="198"/>
      <c r="IXG46" s="198"/>
      <c r="IXH46" s="198"/>
      <c r="IXI46" s="198"/>
      <c r="IXJ46" s="198"/>
      <c r="IXK46" s="827"/>
      <c r="IXL46" s="198"/>
      <c r="IXM46" s="826"/>
      <c r="IXN46" s="1437"/>
      <c r="IXO46" s="1438"/>
      <c r="IXP46" s="198"/>
      <c r="IXQ46" s="198"/>
      <c r="IXR46" s="198"/>
      <c r="IXS46" s="198"/>
      <c r="IXT46" s="198"/>
      <c r="IXU46" s="198"/>
      <c r="IXV46" s="827"/>
      <c r="IXW46" s="198"/>
      <c r="IXX46" s="826"/>
      <c r="IXY46" s="1437"/>
      <c r="IXZ46" s="1438"/>
      <c r="IYA46" s="198"/>
      <c r="IYB46" s="198"/>
      <c r="IYC46" s="198"/>
      <c r="IYD46" s="198"/>
      <c r="IYE46" s="198"/>
      <c r="IYF46" s="198"/>
      <c r="IYG46" s="827"/>
      <c r="IYH46" s="198"/>
      <c r="IYI46" s="826"/>
      <c r="IYJ46" s="1437"/>
      <c r="IYK46" s="1438"/>
      <c r="IYL46" s="198"/>
      <c r="IYM46" s="198"/>
      <c r="IYN46" s="198"/>
      <c r="IYO46" s="198"/>
      <c r="IYP46" s="198"/>
      <c r="IYQ46" s="198"/>
      <c r="IYR46" s="827"/>
      <c r="IYS46" s="198"/>
      <c r="IYT46" s="826"/>
      <c r="IYU46" s="1437"/>
      <c r="IYV46" s="1438"/>
      <c r="IYW46" s="198"/>
      <c r="IYX46" s="198"/>
      <c r="IYY46" s="198"/>
      <c r="IYZ46" s="198"/>
      <c r="IZA46" s="198"/>
      <c r="IZB46" s="198"/>
      <c r="IZC46" s="827"/>
      <c r="IZD46" s="198"/>
      <c r="IZE46" s="826"/>
      <c r="IZF46" s="1437"/>
      <c r="IZG46" s="1438"/>
      <c r="IZH46" s="198"/>
      <c r="IZI46" s="198"/>
      <c r="IZJ46" s="198"/>
      <c r="IZK46" s="198"/>
      <c r="IZL46" s="198"/>
      <c r="IZM46" s="198"/>
      <c r="IZN46" s="827"/>
      <c r="IZO46" s="198"/>
      <c r="IZP46" s="826"/>
      <c r="IZQ46" s="1437"/>
      <c r="IZR46" s="1438"/>
      <c r="IZS46" s="198"/>
      <c r="IZT46" s="198"/>
      <c r="IZU46" s="198"/>
      <c r="IZV46" s="198"/>
      <c r="IZW46" s="198"/>
      <c r="IZX46" s="198"/>
      <c r="IZY46" s="827"/>
      <c r="IZZ46" s="198"/>
      <c r="JAA46" s="826"/>
      <c r="JAB46" s="1437"/>
      <c r="JAC46" s="1438"/>
      <c r="JAD46" s="198"/>
      <c r="JAE46" s="198"/>
      <c r="JAF46" s="198"/>
      <c r="JAG46" s="198"/>
      <c r="JAH46" s="198"/>
      <c r="JAI46" s="198"/>
      <c r="JAJ46" s="827"/>
      <c r="JAK46" s="198"/>
      <c r="JAL46" s="826"/>
      <c r="JAM46" s="1437"/>
      <c r="JAN46" s="1438"/>
      <c r="JAO46" s="198"/>
      <c r="JAP46" s="198"/>
      <c r="JAQ46" s="198"/>
      <c r="JAR46" s="198"/>
      <c r="JAS46" s="198"/>
      <c r="JAT46" s="198"/>
      <c r="JAU46" s="827"/>
      <c r="JAV46" s="198"/>
      <c r="JAW46" s="826"/>
      <c r="JAX46" s="1437"/>
      <c r="JAY46" s="1438"/>
      <c r="JAZ46" s="198"/>
      <c r="JBA46" s="198"/>
      <c r="JBB46" s="198"/>
      <c r="JBC46" s="198"/>
      <c r="JBD46" s="198"/>
      <c r="JBE46" s="198"/>
      <c r="JBF46" s="827"/>
      <c r="JBG46" s="198"/>
      <c r="JBH46" s="826"/>
      <c r="JBI46" s="1437"/>
      <c r="JBJ46" s="1438"/>
      <c r="JBK46" s="198"/>
      <c r="JBL46" s="198"/>
      <c r="JBM46" s="198"/>
      <c r="JBN46" s="198"/>
      <c r="JBO46" s="198"/>
      <c r="JBP46" s="198"/>
      <c r="JBQ46" s="827"/>
      <c r="JBR46" s="198"/>
      <c r="JBS46" s="826"/>
      <c r="JBT46" s="1437"/>
      <c r="JBU46" s="1438"/>
      <c r="JBV46" s="198"/>
      <c r="JBW46" s="198"/>
      <c r="JBX46" s="198"/>
      <c r="JBY46" s="198"/>
      <c r="JBZ46" s="198"/>
      <c r="JCA46" s="198"/>
      <c r="JCB46" s="827"/>
      <c r="JCC46" s="198"/>
      <c r="JCD46" s="826"/>
      <c r="JCE46" s="1437"/>
      <c r="JCF46" s="1438"/>
      <c r="JCG46" s="198"/>
      <c r="JCH46" s="198"/>
      <c r="JCI46" s="198"/>
      <c r="JCJ46" s="198"/>
      <c r="JCK46" s="198"/>
      <c r="JCL46" s="198"/>
      <c r="JCM46" s="827"/>
      <c r="JCN46" s="198"/>
      <c r="JCO46" s="826"/>
      <c r="JCP46" s="1437"/>
      <c r="JCQ46" s="1438"/>
      <c r="JCR46" s="198"/>
      <c r="JCS46" s="198"/>
      <c r="JCT46" s="198"/>
      <c r="JCU46" s="198"/>
      <c r="JCV46" s="198"/>
      <c r="JCW46" s="198"/>
      <c r="JCX46" s="827"/>
      <c r="JCY46" s="198"/>
      <c r="JCZ46" s="826"/>
      <c r="JDA46" s="1437"/>
      <c r="JDB46" s="1438"/>
      <c r="JDC46" s="198"/>
      <c r="JDD46" s="198"/>
      <c r="JDE46" s="198"/>
      <c r="JDF46" s="198"/>
      <c r="JDG46" s="198"/>
      <c r="JDH46" s="198"/>
      <c r="JDI46" s="827"/>
      <c r="JDJ46" s="198"/>
      <c r="JDK46" s="826"/>
      <c r="JDL46" s="1437"/>
      <c r="JDM46" s="1438"/>
      <c r="JDN46" s="198"/>
      <c r="JDO46" s="198"/>
      <c r="JDP46" s="198"/>
      <c r="JDQ46" s="198"/>
      <c r="JDR46" s="198"/>
      <c r="JDS46" s="198"/>
      <c r="JDT46" s="827"/>
      <c r="JDU46" s="198"/>
      <c r="JDV46" s="826"/>
      <c r="JDW46" s="1437"/>
      <c r="JDX46" s="1438"/>
      <c r="JDY46" s="198"/>
      <c r="JDZ46" s="198"/>
      <c r="JEA46" s="198"/>
      <c r="JEB46" s="198"/>
      <c r="JEC46" s="198"/>
      <c r="JED46" s="198"/>
      <c r="JEE46" s="827"/>
      <c r="JEF46" s="198"/>
      <c r="JEG46" s="826"/>
      <c r="JEH46" s="1437"/>
      <c r="JEI46" s="1438"/>
      <c r="JEJ46" s="198"/>
      <c r="JEK46" s="198"/>
      <c r="JEL46" s="198"/>
      <c r="JEM46" s="198"/>
      <c r="JEN46" s="198"/>
      <c r="JEO46" s="198"/>
      <c r="JEP46" s="827"/>
      <c r="JEQ46" s="198"/>
      <c r="JER46" s="826"/>
      <c r="JES46" s="1437"/>
      <c r="JET46" s="1438"/>
      <c r="JEU46" s="198"/>
      <c r="JEV46" s="198"/>
      <c r="JEW46" s="198"/>
      <c r="JEX46" s="198"/>
      <c r="JEY46" s="198"/>
      <c r="JEZ46" s="198"/>
      <c r="JFA46" s="827"/>
      <c r="JFB46" s="198"/>
      <c r="JFC46" s="826"/>
      <c r="JFD46" s="1437"/>
      <c r="JFE46" s="1438"/>
      <c r="JFF46" s="198"/>
      <c r="JFG46" s="198"/>
      <c r="JFH46" s="198"/>
      <c r="JFI46" s="198"/>
      <c r="JFJ46" s="198"/>
      <c r="JFK46" s="198"/>
      <c r="JFL46" s="827"/>
      <c r="JFM46" s="198"/>
      <c r="JFN46" s="826"/>
      <c r="JFO46" s="1437"/>
      <c r="JFP46" s="1438"/>
      <c r="JFQ46" s="198"/>
      <c r="JFR46" s="198"/>
      <c r="JFS46" s="198"/>
      <c r="JFT46" s="198"/>
      <c r="JFU46" s="198"/>
      <c r="JFV46" s="198"/>
      <c r="JFW46" s="827"/>
      <c r="JFX46" s="198"/>
      <c r="JFY46" s="826"/>
      <c r="JFZ46" s="1437"/>
      <c r="JGA46" s="1438"/>
      <c r="JGB46" s="198"/>
      <c r="JGC46" s="198"/>
      <c r="JGD46" s="198"/>
      <c r="JGE46" s="198"/>
      <c r="JGF46" s="198"/>
      <c r="JGG46" s="198"/>
      <c r="JGH46" s="827"/>
      <c r="JGI46" s="198"/>
      <c r="JGJ46" s="826"/>
      <c r="JGK46" s="1437"/>
      <c r="JGL46" s="1438"/>
      <c r="JGM46" s="198"/>
      <c r="JGN46" s="198"/>
      <c r="JGO46" s="198"/>
      <c r="JGP46" s="198"/>
      <c r="JGQ46" s="198"/>
      <c r="JGR46" s="198"/>
      <c r="JGS46" s="827"/>
      <c r="JGT46" s="198"/>
      <c r="JGU46" s="826"/>
      <c r="JGV46" s="1437"/>
      <c r="JGW46" s="1438"/>
      <c r="JGX46" s="198"/>
      <c r="JGY46" s="198"/>
      <c r="JGZ46" s="198"/>
      <c r="JHA46" s="198"/>
      <c r="JHB46" s="198"/>
      <c r="JHC46" s="198"/>
      <c r="JHD46" s="827"/>
      <c r="JHE46" s="198"/>
      <c r="JHF46" s="826"/>
      <c r="JHG46" s="1437"/>
      <c r="JHH46" s="1438"/>
      <c r="JHI46" s="198"/>
      <c r="JHJ46" s="198"/>
      <c r="JHK46" s="198"/>
      <c r="JHL46" s="198"/>
      <c r="JHM46" s="198"/>
      <c r="JHN46" s="198"/>
      <c r="JHO46" s="827"/>
      <c r="JHP46" s="198"/>
      <c r="JHQ46" s="826"/>
      <c r="JHR46" s="1437"/>
      <c r="JHS46" s="1438"/>
      <c r="JHT46" s="198"/>
      <c r="JHU46" s="198"/>
      <c r="JHV46" s="198"/>
      <c r="JHW46" s="198"/>
      <c r="JHX46" s="198"/>
      <c r="JHY46" s="198"/>
      <c r="JHZ46" s="827"/>
      <c r="JIA46" s="198"/>
      <c r="JIB46" s="826"/>
      <c r="JIC46" s="1437"/>
      <c r="JID46" s="1438"/>
      <c r="JIE46" s="198"/>
      <c r="JIF46" s="198"/>
      <c r="JIG46" s="198"/>
      <c r="JIH46" s="198"/>
      <c r="JII46" s="198"/>
      <c r="JIJ46" s="198"/>
      <c r="JIK46" s="827"/>
      <c r="JIL46" s="198"/>
      <c r="JIM46" s="826"/>
      <c r="JIN46" s="1437"/>
      <c r="JIO46" s="1438"/>
      <c r="JIP46" s="198"/>
      <c r="JIQ46" s="198"/>
      <c r="JIR46" s="198"/>
      <c r="JIS46" s="198"/>
      <c r="JIT46" s="198"/>
      <c r="JIU46" s="198"/>
      <c r="JIV46" s="827"/>
      <c r="JIW46" s="198"/>
      <c r="JIX46" s="826"/>
      <c r="JIY46" s="1437"/>
      <c r="JIZ46" s="1438"/>
      <c r="JJA46" s="198"/>
      <c r="JJB46" s="198"/>
      <c r="JJC46" s="198"/>
      <c r="JJD46" s="198"/>
      <c r="JJE46" s="198"/>
      <c r="JJF46" s="198"/>
      <c r="JJG46" s="827"/>
      <c r="JJH46" s="198"/>
      <c r="JJI46" s="826"/>
      <c r="JJJ46" s="1437"/>
      <c r="JJK46" s="1438"/>
      <c r="JJL46" s="198"/>
      <c r="JJM46" s="198"/>
      <c r="JJN46" s="198"/>
      <c r="JJO46" s="198"/>
      <c r="JJP46" s="198"/>
      <c r="JJQ46" s="198"/>
      <c r="JJR46" s="827"/>
      <c r="JJS46" s="198"/>
      <c r="JJT46" s="826"/>
      <c r="JJU46" s="1437"/>
      <c r="JJV46" s="1438"/>
      <c r="JJW46" s="198"/>
      <c r="JJX46" s="198"/>
      <c r="JJY46" s="198"/>
      <c r="JJZ46" s="198"/>
      <c r="JKA46" s="198"/>
      <c r="JKB46" s="198"/>
      <c r="JKC46" s="827"/>
      <c r="JKD46" s="198"/>
      <c r="JKE46" s="826"/>
      <c r="JKF46" s="1437"/>
      <c r="JKG46" s="1438"/>
      <c r="JKH46" s="198"/>
      <c r="JKI46" s="198"/>
      <c r="JKJ46" s="198"/>
      <c r="JKK46" s="198"/>
      <c r="JKL46" s="198"/>
      <c r="JKM46" s="198"/>
      <c r="JKN46" s="827"/>
      <c r="JKO46" s="198"/>
      <c r="JKP46" s="826"/>
      <c r="JKQ46" s="1437"/>
      <c r="JKR46" s="1438"/>
      <c r="JKS46" s="198"/>
      <c r="JKT46" s="198"/>
      <c r="JKU46" s="198"/>
      <c r="JKV46" s="198"/>
      <c r="JKW46" s="198"/>
      <c r="JKX46" s="198"/>
      <c r="JKY46" s="827"/>
      <c r="JKZ46" s="198"/>
      <c r="JLA46" s="826"/>
      <c r="JLB46" s="1437"/>
      <c r="JLC46" s="1438"/>
      <c r="JLD46" s="198"/>
      <c r="JLE46" s="198"/>
      <c r="JLF46" s="198"/>
      <c r="JLG46" s="198"/>
      <c r="JLH46" s="198"/>
      <c r="JLI46" s="198"/>
      <c r="JLJ46" s="827"/>
      <c r="JLK46" s="198"/>
      <c r="JLL46" s="826"/>
      <c r="JLM46" s="1437"/>
      <c r="JLN46" s="1438"/>
      <c r="JLO46" s="198"/>
      <c r="JLP46" s="198"/>
      <c r="JLQ46" s="198"/>
      <c r="JLR46" s="198"/>
      <c r="JLS46" s="198"/>
      <c r="JLT46" s="198"/>
      <c r="JLU46" s="827"/>
      <c r="JLV46" s="198"/>
      <c r="JLW46" s="826"/>
      <c r="JLX46" s="1437"/>
      <c r="JLY46" s="1438"/>
      <c r="JLZ46" s="198"/>
      <c r="JMA46" s="198"/>
      <c r="JMB46" s="198"/>
      <c r="JMC46" s="198"/>
      <c r="JMD46" s="198"/>
      <c r="JME46" s="198"/>
      <c r="JMF46" s="827"/>
      <c r="JMG46" s="198"/>
      <c r="JMH46" s="826"/>
      <c r="JMI46" s="1437"/>
      <c r="JMJ46" s="1438"/>
      <c r="JMK46" s="198"/>
      <c r="JML46" s="198"/>
      <c r="JMM46" s="198"/>
      <c r="JMN46" s="198"/>
      <c r="JMO46" s="198"/>
      <c r="JMP46" s="198"/>
      <c r="JMQ46" s="827"/>
      <c r="JMR46" s="198"/>
      <c r="JMS46" s="826"/>
      <c r="JMT46" s="1437"/>
      <c r="JMU46" s="1438"/>
      <c r="JMV46" s="198"/>
      <c r="JMW46" s="198"/>
      <c r="JMX46" s="198"/>
      <c r="JMY46" s="198"/>
      <c r="JMZ46" s="198"/>
      <c r="JNA46" s="198"/>
      <c r="JNB46" s="827"/>
      <c r="JNC46" s="198"/>
      <c r="JND46" s="826"/>
      <c r="JNE46" s="1437"/>
      <c r="JNF46" s="1438"/>
      <c r="JNG46" s="198"/>
      <c r="JNH46" s="198"/>
      <c r="JNI46" s="198"/>
      <c r="JNJ46" s="198"/>
      <c r="JNK46" s="198"/>
      <c r="JNL46" s="198"/>
      <c r="JNM46" s="827"/>
      <c r="JNN46" s="198"/>
      <c r="JNO46" s="826"/>
      <c r="JNP46" s="1437"/>
      <c r="JNQ46" s="1438"/>
      <c r="JNR46" s="198"/>
      <c r="JNS46" s="198"/>
      <c r="JNT46" s="198"/>
      <c r="JNU46" s="198"/>
      <c r="JNV46" s="198"/>
      <c r="JNW46" s="198"/>
      <c r="JNX46" s="827"/>
      <c r="JNY46" s="198"/>
      <c r="JNZ46" s="826"/>
      <c r="JOA46" s="1437"/>
      <c r="JOB46" s="1438"/>
      <c r="JOC46" s="198"/>
      <c r="JOD46" s="198"/>
      <c r="JOE46" s="198"/>
      <c r="JOF46" s="198"/>
      <c r="JOG46" s="198"/>
      <c r="JOH46" s="198"/>
      <c r="JOI46" s="827"/>
      <c r="JOJ46" s="198"/>
      <c r="JOK46" s="826"/>
      <c r="JOL46" s="1437"/>
      <c r="JOM46" s="1438"/>
      <c r="JON46" s="198"/>
      <c r="JOO46" s="198"/>
      <c r="JOP46" s="198"/>
      <c r="JOQ46" s="198"/>
      <c r="JOR46" s="198"/>
      <c r="JOS46" s="198"/>
      <c r="JOT46" s="827"/>
      <c r="JOU46" s="198"/>
      <c r="JOV46" s="826"/>
      <c r="JOW46" s="1437"/>
      <c r="JOX46" s="1438"/>
      <c r="JOY46" s="198"/>
      <c r="JOZ46" s="198"/>
      <c r="JPA46" s="198"/>
      <c r="JPB46" s="198"/>
      <c r="JPC46" s="198"/>
      <c r="JPD46" s="198"/>
      <c r="JPE46" s="827"/>
      <c r="JPF46" s="198"/>
      <c r="JPG46" s="826"/>
      <c r="JPH46" s="1437"/>
      <c r="JPI46" s="1438"/>
      <c r="JPJ46" s="198"/>
      <c r="JPK46" s="198"/>
      <c r="JPL46" s="198"/>
      <c r="JPM46" s="198"/>
      <c r="JPN46" s="198"/>
      <c r="JPO46" s="198"/>
      <c r="JPP46" s="827"/>
      <c r="JPQ46" s="198"/>
      <c r="JPR46" s="826"/>
      <c r="JPS46" s="1437"/>
      <c r="JPT46" s="1438"/>
      <c r="JPU46" s="198"/>
      <c r="JPV46" s="198"/>
      <c r="JPW46" s="198"/>
      <c r="JPX46" s="198"/>
      <c r="JPY46" s="198"/>
      <c r="JPZ46" s="198"/>
      <c r="JQA46" s="827"/>
      <c r="JQB46" s="198"/>
      <c r="JQC46" s="826"/>
      <c r="JQD46" s="1437"/>
      <c r="JQE46" s="1438"/>
      <c r="JQF46" s="198"/>
      <c r="JQG46" s="198"/>
      <c r="JQH46" s="198"/>
      <c r="JQI46" s="198"/>
      <c r="JQJ46" s="198"/>
      <c r="JQK46" s="198"/>
      <c r="JQL46" s="827"/>
      <c r="JQM46" s="198"/>
      <c r="JQN46" s="826"/>
      <c r="JQO46" s="1437"/>
      <c r="JQP46" s="1438"/>
      <c r="JQQ46" s="198"/>
      <c r="JQR46" s="198"/>
      <c r="JQS46" s="198"/>
      <c r="JQT46" s="198"/>
      <c r="JQU46" s="198"/>
      <c r="JQV46" s="198"/>
      <c r="JQW46" s="827"/>
      <c r="JQX46" s="198"/>
      <c r="JQY46" s="826"/>
      <c r="JQZ46" s="1437"/>
      <c r="JRA46" s="1438"/>
      <c r="JRB46" s="198"/>
      <c r="JRC46" s="198"/>
      <c r="JRD46" s="198"/>
      <c r="JRE46" s="198"/>
      <c r="JRF46" s="198"/>
      <c r="JRG46" s="198"/>
      <c r="JRH46" s="827"/>
      <c r="JRI46" s="198"/>
      <c r="JRJ46" s="826"/>
      <c r="JRK46" s="1437"/>
      <c r="JRL46" s="1438"/>
      <c r="JRM46" s="198"/>
      <c r="JRN46" s="198"/>
      <c r="JRO46" s="198"/>
      <c r="JRP46" s="198"/>
      <c r="JRQ46" s="198"/>
      <c r="JRR46" s="198"/>
      <c r="JRS46" s="827"/>
      <c r="JRT46" s="198"/>
      <c r="JRU46" s="826"/>
      <c r="JRV46" s="1437"/>
      <c r="JRW46" s="1438"/>
      <c r="JRX46" s="198"/>
      <c r="JRY46" s="198"/>
      <c r="JRZ46" s="198"/>
      <c r="JSA46" s="198"/>
      <c r="JSB46" s="198"/>
      <c r="JSC46" s="198"/>
      <c r="JSD46" s="827"/>
      <c r="JSE46" s="198"/>
      <c r="JSF46" s="826"/>
      <c r="JSG46" s="1437"/>
      <c r="JSH46" s="1438"/>
      <c r="JSI46" s="198"/>
      <c r="JSJ46" s="198"/>
      <c r="JSK46" s="198"/>
      <c r="JSL46" s="198"/>
      <c r="JSM46" s="198"/>
      <c r="JSN46" s="198"/>
      <c r="JSO46" s="827"/>
      <c r="JSP46" s="198"/>
      <c r="JSQ46" s="826"/>
      <c r="JSR46" s="1437"/>
      <c r="JSS46" s="1438"/>
      <c r="JST46" s="198"/>
      <c r="JSU46" s="198"/>
      <c r="JSV46" s="198"/>
      <c r="JSW46" s="198"/>
      <c r="JSX46" s="198"/>
      <c r="JSY46" s="198"/>
      <c r="JSZ46" s="827"/>
      <c r="JTA46" s="198"/>
      <c r="JTB46" s="826"/>
      <c r="JTC46" s="1437"/>
      <c r="JTD46" s="1438"/>
      <c r="JTE46" s="198"/>
      <c r="JTF46" s="198"/>
      <c r="JTG46" s="198"/>
      <c r="JTH46" s="198"/>
      <c r="JTI46" s="198"/>
      <c r="JTJ46" s="198"/>
      <c r="JTK46" s="827"/>
      <c r="JTL46" s="198"/>
      <c r="JTM46" s="826"/>
      <c r="JTN46" s="1437"/>
      <c r="JTO46" s="1438"/>
      <c r="JTP46" s="198"/>
      <c r="JTQ46" s="198"/>
      <c r="JTR46" s="198"/>
      <c r="JTS46" s="198"/>
      <c r="JTT46" s="198"/>
      <c r="JTU46" s="198"/>
      <c r="JTV46" s="827"/>
      <c r="JTW46" s="198"/>
      <c r="JTX46" s="826"/>
      <c r="JTY46" s="1437"/>
      <c r="JTZ46" s="1438"/>
      <c r="JUA46" s="198"/>
      <c r="JUB46" s="198"/>
      <c r="JUC46" s="198"/>
      <c r="JUD46" s="198"/>
      <c r="JUE46" s="198"/>
      <c r="JUF46" s="198"/>
      <c r="JUG46" s="827"/>
      <c r="JUH46" s="198"/>
      <c r="JUI46" s="826"/>
      <c r="JUJ46" s="1437"/>
      <c r="JUK46" s="1438"/>
      <c r="JUL46" s="198"/>
      <c r="JUM46" s="198"/>
      <c r="JUN46" s="198"/>
      <c r="JUO46" s="198"/>
      <c r="JUP46" s="198"/>
      <c r="JUQ46" s="198"/>
      <c r="JUR46" s="827"/>
      <c r="JUS46" s="198"/>
      <c r="JUT46" s="826"/>
      <c r="JUU46" s="1437"/>
      <c r="JUV46" s="1438"/>
      <c r="JUW46" s="198"/>
      <c r="JUX46" s="198"/>
      <c r="JUY46" s="198"/>
      <c r="JUZ46" s="198"/>
      <c r="JVA46" s="198"/>
      <c r="JVB46" s="198"/>
      <c r="JVC46" s="827"/>
      <c r="JVD46" s="198"/>
      <c r="JVE46" s="826"/>
      <c r="JVF46" s="1437"/>
      <c r="JVG46" s="1438"/>
      <c r="JVH46" s="198"/>
      <c r="JVI46" s="198"/>
      <c r="JVJ46" s="198"/>
      <c r="JVK46" s="198"/>
      <c r="JVL46" s="198"/>
      <c r="JVM46" s="198"/>
      <c r="JVN46" s="827"/>
      <c r="JVO46" s="198"/>
      <c r="JVP46" s="826"/>
      <c r="JVQ46" s="1437"/>
      <c r="JVR46" s="1438"/>
      <c r="JVS46" s="198"/>
      <c r="JVT46" s="198"/>
      <c r="JVU46" s="198"/>
      <c r="JVV46" s="198"/>
      <c r="JVW46" s="198"/>
      <c r="JVX46" s="198"/>
      <c r="JVY46" s="827"/>
      <c r="JVZ46" s="198"/>
      <c r="JWA46" s="826"/>
      <c r="JWB46" s="1437"/>
      <c r="JWC46" s="1438"/>
      <c r="JWD46" s="198"/>
      <c r="JWE46" s="198"/>
      <c r="JWF46" s="198"/>
      <c r="JWG46" s="198"/>
      <c r="JWH46" s="198"/>
      <c r="JWI46" s="198"/>
      <c r="JWJ46" s="827"/>
      <c r="JWK46" s="198"/>
      <c r="JWL46" s="826"/>
      <c r="JWM46" s="1437"/>
      <c r="JWN46" s="1438"/>
      <c r="JWO46" s="198"/>
      <c r="JWP46" s="198"/>
      <c r="JWQ46" s="198"/>
      <c r="JWR46" s="198"/>
      <c r="JWS46" s="198"/>
      <c r="JWT46" s="198"/>
      <c r="JWU46" s="827"/>
      <c r="JWV46" s="198"/>
      <c r="JWW46" s="826"/>
      <c r="JWX46" s="1437"/>
      <c r="JWY46" s="1438"/>
      <c r="JWZ46" s="198"/>
      <c r="JXA46" s="198"/>
      <c r="JXB46" s="198"/>
      <c r="JXC46" s="198"/>
      <c r="JXD46" s="198"/>
      <c r="JXE46" s="198"/>
      <c r="JXF46" s="827"/>
      <c r="JXG46" s="198"/>
      <c r="JXH46" s="826"/>
      <c r="JXI46" s="1437"/>
      <c r="JXJ46" s="1438"/>
      <c r="JXK46" s="198"/>
      <c r="JXL46" s="198"/>
      <c r="JXM46" s="198"/>
      <c r="JXN46" s="198"/>
      <c r="JXO46" s="198"/>
      <c r="JXP46" s="198"/>
      <c r="JXQ46" s="827"/>
      <c r="JXR46" s="198"/>
      <c r="JXS46" s="826"/>
      <c r="JXT46" s="1437"/>
      <c r="JXU46" s="1438"/>
      <c r="JXV46" s="198"/>
      <c r="JXW46" s="198"/>
      <c r="JXX46" s="198"/>
      <c r="JXY46" s="198"/>
      <c r="JXZ46" s="198"/>
      <c r="JYA46" s="198"/>
      <c r="JYB46" s="827"/>
      <c r="JYC46" s="198"/>
      <c r="JYD46" s="826"/>
      <c r="JYE46" s="1437"/>
      <c r="JYF46" s="1438"/>
      <c r="JYG46" s="198"/>
      <c r="JYH46" s="198"/>
      <c r="JYI46" s="198"/>
      <c r="JYJ46" s="198"/>
      <c r="JYK46" s="198"/>
      <c r="JYL46" s="198"/>
      <c r="JYM46" s="827"/>
      <c r="JYN46" s="198"/>
      <c r="JYO46" s="826"/>
      <c r="JYP46" s="1437"/>
      <c r="JYQ46" s="1438"/>
      <c r="JYR46" s="198"/>
      <c r="JYS46" s="198"/>
      <c r="JYT46" s="198"/>
      <c r="JYU46" s="198"/>
      <c r="JYV46" s="198"/>
      <c r="JYW46" s="198"/>
      <c r="JYX46" s="827"/>
      <c r="JYY46" s="198"/>
      <c r="JYZ46" s="826"/>
      <c r="JZA46" s="1437"/>
      <c r="JZB46" s="1438"/>
      <c r="JZC46" s="198"/>
      <c r="JZD46" s="198"/>
      <c r="JZE46" s="198"/>
      <c r="JZF46" s="198"/>
      <c r="JZG46" s="198"/>
      <c r="JZH46" s="198"/>
      <c r="JZI46" s="827"/>
      <c r="JZJ46" s="198"/>
      <c r="JZK46" s="826"/>
      <c r="JZL46" s="1437"/>
      <c r="JZM46" s="1438"/>
      <c r="JZN46" s="198"/>
      <c r="JZO46" s="198"/>
      <c r="JZP46" s="198"/>
      <c r="JZQ46" s="198"/>
      <c r="JZR46" s="198"/>
      <c r="JZS46" s="198"/>
      <c r="JZT46" s="827"/>
      <c r="JZU46" s="198"/>
      <c r="JZV46" s="826"/>
      <c r="JZW46" s="1437"/>
      <c r="JZX46" s="1438"/>
      <c r="JZY46" s="198"/>
      <c r="JZZ46" s="198"/>
      <c r="KAA46" s="198"/>
      <c r="KAB46" s="198"/>
      <c r="KAC46" s="198"/>
      <c r="KAD46" s="198"/>
      <c r="KAE46" s="827"/>
      <c r="KAF46" s="198"/>
      <c r="KAG46" s="826"/>
      <c r="KAH46" s="1437"/>
      <c r="KAI46" s="1438"/>
      <c r="KAJ46" s="198"/>
      <c r="KAK46" s="198"/>
      <c r="KAL46" s="198"/>
      <c r="KAM46" s="198"/>
      <c r="KAN46" s="198"/>
      <c r="KAO46" s="198"/>
      <c r="KAP46" s="827"/>
      <c r="KAQ46" s="198"/>
      <c r="KAR46" s="826"/>
      <c r="KAS46" s="1437"/>
      <c r="KAT46" s="1438"/>
      <c r="KAU46" s="198"/>
      <c r="KAV46" s="198"/>
      <c r="KAW46" s="198"/>
      <c r="KAX46" s="198"/>
      <c r="KAY46" s="198"/>
      <c r="KAZ46" s="198"/>
      <c r="KBA46" s="827"/>
      <c r="KBB46" s="198"/>
      <c r="KBC46" s="826"/>
      <c r="KBD46" s="1437"/>
      <c r="KBE46" s="1438"/>
      <c r="KBF46" s="198"/>
      <c r="KBG46" s="198"/>
      <c r="KBH46" s="198"/>
      <c r="KBI46" s="198"/>
      <c r="KBJ46" s="198"/>
      <c r="KBK46" s="198"/>
      <c r="KBL46" s="827"/>
      <c r="KBM46" s="198"/>
      <c r="KBN46" s="826"/>
      <c r="KBO46" s="1437"/>
      <c r="KBP46" s="1438"/>
      <c r="KBQ46" s="198"/>
      <c r="KBR46" s="198"/>
      <c r="KBS46" s="198"/>
      <c r="KBT46" s="198"/>
      <c r="KBU46" s="198"/>
      <c r="KBV46" s="198"/>
      <c r="KBW46" s="827"/>
      <c r="KBX46" s="198"/>
      <c r="KBY46" s="826"/>
      <c r="KBZ46" s="1437"/>
      <c r="KCA46" s="1438"/>
      <c r="KCB46" s="198"/>
      <c r="KCC46" s="198"/>
      <c r="KCD46" s="198"/>
      <c r="KCE46" s="198"/>
      <c r="KCF46" s="198"/>
      <c r="KCG46" s="198"/>
      <c r="KCH46" s="827"/>
      <c r="KCI46" s="198"/>
      <c r="KCJ46" s="826"/>
      <c r="KCK46" s="1437"/>
      <c r="KCL46" s="1438"/>
      <c r="KCM46" s="198"/>
      <c r="KCN46" s="198"/>
      <c r="KCO46" s="198"/>
      <c r="KCP46" s="198"/>
      <c r="KCQ46" s="198"/>
      <c r="KCR46" s="198"/>
      <c r="KCS46" s="827"/>
      <c r="KCT46" s="198"/>
      <c r="KCU46" s="826"/>
      <c r="KCV46" s="1437"/>
      <c r="KCW46" s="1438"/>
      <c r="KCX46" s="198"/>
      <c r="KCY46" s="198"/>
      <c r="KCZ46" s="198"/>
      <c r="KDA46" s="198"/>
      <c r="KDB46" s="198"/>
      <c r="KDC46" s="198"/>
      <c r="KDD46" s="827"/>
      <c r="KDE46" s="198"/>
      <c r="KDF46" s="826"/>
      <c r="KDG46" s="1437"/>
      <c r="KDH46" s="1438"/>
      <c r="KDI46" s="198"/>
      <c r="KDJ46" s="198"/>
      <c r="KDK46" s="198"/>
      <c r="KDL46" s="198"/>
      <c r="KDM46" s="198"/>
      <c r="KDN46" s="198"/>
      <c r="KDO46" s="827"/>
      <c r="KDP46" s="198"/>
      <c r="KDQ46" s="826"/>
      <c r="KDR46" s="1437"/>
      <c r="KDS46" s="1438"/>
      <c r="KDT46" s="198"/>
      <c r="KDU46" s="198"/>
      <c r="KDV46" s="198"/>
      <c r="KDW46" s="198"/>
      <c r="KDX46" s="198"/>
      <c r="KDY46" s="198"/>
      <c r="KDZ46" s="827"/>
      <c r="KEA46" s="198"/>
      <c r="KEB46" s="826"/>
      <c r="KEC46" s="1437"/>
      <c r="KED46" s="1438"/>
      <c r="KEE46" s="198"/>
      <c r="KEF46" s="198"/>
      <c r="KEG46" s="198"/>
      <c r="KEH46" s="198"/>
      <c r="KEI46" s="198"/>
      <c r="KEJ46" s="198"/>
      <c r="KEK46" s="827"/>
      <c r="KEL46" s="198"/>
      <c r="KEM46" s="826"/>
      <c r="KEN46" s="1437"/>
      <c r="KEO46" s="1438"/>
      <c r="KEP46" s="198"/>
      <c r="KEQ46" s="198"/>
      <c r="KER46" s="198"/>
      <c r="KES46" s="198"/>
      <c r="KET46" s="198"/>
      <c r="KEU46" s="198"/>
      <c r="KEV46" s="827"/>
      <c r="KEW46" s="198"/>
      <c r="KEX46" s="826"/>
      <c r="KEY46" s="1437"/>
      <c r="KEZ46" s="1438"/>
      <c r="KFA46" s="198"/>
      <c r="KFB46" s="198"/>
      <c r="KFC46" s="198"/>
      <c r="KFD46" s="198"/>
      <c r="KFE46" s="198"/>
      <c r="KFF46" s="198"/>
      <c r="KFG46" s="827"/>
      <c r="KFH46" s="198"/>
      <c r="KFI46" s="826"/>
      <c r="KFJ46" s="1437"/>
      <c r="KFK46" s="1438"/>
      <c r="KFL46" s="198"/>
      <c r="KFM46" s="198"/>
      <c r="KFN46" s="198"/>
      <c r="KFO46" s="198"/>
      <c r="KFP46" s="198"/>
      <c r="KFQ46" s="198"/>
      <c r="KFR46" s="827"/>
      <c r="KFS46" s="198"/>
      <c r="KFT46" s="826"/>
      <c r="KFU46" s="1437"/>
      <c r="KFV46" s="1438"/>
      <c r="KFW46" s="198"/>
      <c r="KFX46" s="198"/>
      <c r="KFY46" s="198"/>
      <c r="KFZ46" s="198"/>
      <c r="KGA46" s="198"/>
      <c r="KGB46" s="198"/>
      <c r="KGC46" s="827"/>
      <c r="KGD46" s="198"/>
      <c r="KGE46" s="826"/>
      <c r="KGF46" s="1437"/>
      <c r="KGG46" s="1438"/>
      <c r="KGH46" s="198"/>
      <c r="KGI46" s="198"/>
      <c r="KGJ46" s="198"/>
      <c r="KGK46" s="198"/>
      <c r="KGL46" s="198"/>
      <c r="KGM46" s="198"/>
      <c r="KGN46" s="827"/>
      <c r="KGO46" s="198"/>
      <c r="KGP46" s="826"/>
      <c r="KGQ46" s="1437"/>
      <c r="KGR46" s="1438"/>
      <c r="KGS46" s="198"/>
      <c r="KGT46" s="198"/>
      <c r="KGU46" s="198"/>
      <c r="KGV46" s="198"/>
      <c r="KGW46" s="198"/>
      <c r="KGX46" s="198"/>
      <c r="KGY46" s="827"/>
      <c r="KGZ46" s="198"/>
      <c r="KHA46" s="826"/>
      <c r="KHB46" s="1437"/>
      <c r="KHC46" s="1438"/>
      <c r="KHD46" s="198"/>
      <c r="KHE46" s="198"/>
      <c r="KHF46" s="198"/>
      <c r="KHG46" s="198"/>
      <c r="KHH46" s="198"/>
      <c r="KHI46" s="198"/>
      <c r="KHJ46" s="827"/>
      <c r="KHK46" s="198"/>
      <c r="KHL46" s="826"/>
      <c r="KHM46" s="1437"/>
      <c r="KHN46" s="1438"/>
      <c r="KHO46" s="198"/>
      <c r="KHP46" s="198"/>
      <c r="KHQ46" s="198"/>
      <c r="KHR46" s="198"/>
      <c r="KHS46" s="198"/>
      <c r="KHT46" s="198"/>
      <c r="KHU46" s="827"/>
      <c r="KHV46" s="198"/>
      <c r="KHW46" s="826"/>
      <c r="KHX46" s="1437"/>
      <c r="KHY46" s="1438"/>
      <c r="KHZ46" s="198"/>
      <c r="KIA46" s="198"/>
      <c r="KIB46" s="198"/>
      <c r="KIC46" s="198"/>
      <c r="KID46" s="198"/>
      <c r="KIE46" s="198"/>
      <c r="KIF46" s="827"/>
      <c r="KIG46" s="198"/>
      <c r="KIH46" s="826"/>
      <c r="KII46" s="1437"/>
      <c r="KIJ46" s="1438"/>
      <c r="KIK46" s="198"/>
      <c r="KIL46" s="198"/>
      <c r="KIM46" s="198"/>
      <c r="KIN46" s="198"/>
      <c r="KIO46" s="198"/>
      <c r="KIP46" s="198"/>
      <c r="KIQ46" s="827"/>
      <c r="KIR46" s="198"/>
      <c r="KIS46" s="826"/>
      <c r="KIT46" s="1437"/>
      <c r="KIU46" s="1438"/>
      <c r="KIV46" s="198"/>
      <c r="KIW46" s="198"/>
      <c r="KIX46" s="198"/>
      <c r="KIY46" s="198"/>
      <c r="KIZ46" s="198"/>
      <c r="KJA46" s="198"/>
      <c r="KJB46" s="827"/>
      <c r="KJC46" s="198"/>
      <c r="KJD46" s="826"/>
      <c r="KJE46" s="1437"/>
      <c r="KJF46" s="1438"/>
      <c r="KJG46" s="198"/>
      <c r="KJH46" s="198"/>
      <c r="KJI46" s="198"/>
      <c r="KJJ46" s="198"/>
      <c r="KJK46" s="198"/>
      <c r="KJL46" s="198"/>
      <c r="KJM46" s="827"/>
      <c r="KJN46" s="198"/>
      <c r="KJO46" s="826"/>
      <c r="KJP46" s="1437"/>
      <c r="KJQ46" s="1438"/>
      <c r="KJR46" s="198"/>
      <c r="KJS46" s="198"/>
      <c r="KJT46" s="198"/>
      <c r="KJU46" s="198"/>
      <c r="KJV46" s="198"/>
      <c r="KJW46" s="198"/>
      <c r="KJX46" s="827"/>
      <c r="KJY46" s="198"/>
      <c r="KJZ46" s="826"/>
      <c r="KKA46" s="1437"/>
      <c r="KKB46" s="1438"/>
      <c r="KKC46" s="198"/>
      <c r="KKD46" s="198"/>
      <c r="KKE46" s="198"/>
      <c r="KKF46" s="198"/>
      <c r="KKG46" s="198"/>
      <c r="KKH46" s="198"/>
      <c r="KKI46" s="827"/>
      <c r="KKJ46" s="198"/>
      <c r="KKK46" s="826"/>
      <c r="KKL46" s="1437"/>
      <c r="KKM46" s="1438"/>
      <c r="KKN46" s="198"/>
      <c r="KKO46" s="198"/>
      <c r="KKP46" s="198"/>
      <c r="KKQ46" s="198"/>
      <c r="KKR46" s="198"/>
      <c r="KKS46" s="198"/>
      <c r="KKT46" s="827"/>
      <c r="KKU46" s="198"/>
      <c r="KKV46" s="826"/>
      <c r="KKW46" s="1437"/>
      <c r="KKX46" s="1438"/>
      <c r="KKY46" s="198"/>
      <c r="KKZ46" s="198"/>
      <c r="KLA46" s="198"/>
      <c r="KLB46" s="198"/>
      <c r="KLC46" s="198"/>
      <c r="KLD46" s="198"/>
      <c r="KLE46" s="827"/>
      <c r="KLF46" s="198"/>
      <c r="KLG46" s="826"/>
      <c r="KLH46" s="1437"/>
      <c r="KLI46" s="1438"/>
      <c r="KLJ46" s="198"/>
      <c r="KLK46" s="198"/>
      <c r="KLL46" s="198"/>
      <c r="KLM46" s="198"/>
      <c r="KLN46" s="198"/>
      <c r="KLO46" s="198"/>
      <c r="KLP46" s="827"/>
      <c r="KLQ46" s="198"/>
      <c r="KLR46" s="826"/>
      <c r="KLS46" s="1437"/>
      <c r="KLT46" s="1438"/>
      <c r="KLU46" s="198"/>
      <c r="KLV46" s="198"/>
      <c r="KLW46" s="198"/>
      <c r="KLX46" s="198"/>
      <c r="KLY46" s="198"/>
      <c r="KLZ46" s="198"/>
      <c r="KMA46" s="827"/>
      <c r="KMB46" s="198"/>
      <c r="KMC46" s="826"/>
      <c r="KMD46" s="1437"/>
      <c r="KME46" s="1438"/>
      <c r="KMF46" s="198"/>
      <c r="KMG46" s="198"/>
      <c r="KMH46" s="198"/>
      <c r="KMI46" s="198"/>
      <c r="KMJ46" s="198"/>
      <c r="KMK46" s="198"/>
      <c r="KML46" s="827"/>
      <c r="KMM46" s="198"/>
      <c r="KMN46" s="826"/>
      <c r="KMO46" s="1437"/>
      <c r="KMP46" s="1438"/>
      <c r="KMQ46" s="198"/>
      <c r="KMR46" s="198"/>
      <c r="KMS46" s="198"/>
      <c r="KMT46" s="198"/>
      <c r="KMU46" s="198"/>
      <c r="KMV46" s="198"/>
      <c r="KMW46" s="827"/>
      <c r="KMX46" s="198"/>
      <c r="KMY46" s="826"/>
      <c r="KMZ46" s="1437"/>
      <c r="KNA46" s="1438"/>
      <c r="KNB46" s="198"/>
      <c r="KNC46" s="198"/>
      <c r="KND46" s="198"/>
      <c r="KNE46" s="198"/>
      <c r="KNF46" s="198"/>
      <c r="KNG46" s="198"/>
      <c r="KNH46" s="827"/>
      <c r="KNI46" s="198"/>
      <c r="KNJ46" s="826"/>
      <c r="KNK46" s="1437"/>
      <c r="KNL46" s="1438"/>
      <c r="KNM46" s="198"/>
      <c r="KNN46" s="198"/>
      <c r="KNO46" s="198"/>
      <c r="KNP46" s="198"/>
      <c r="KNQ46" s="198"/>
      <c r="KNR46" s="198"/>
      <c r="KNS46" s="827"/>
      <c r="KNT46" s="198"/>
      <c r="KNU46" s="826"/>
      <c r="KNV46" s="1437"/>
      <c r="KNW46" s="1438"/>
      <c r="KNX46" s="198"/>
      <c r="KNY46" s="198"/>
      <c r="KNZ46" s="198"/>
      <c r="KOA46" s="198"/>
      <c r="KOB46" s="198"/>
      <c r="KOC46" s="198"/>
      <c r="KOD46" s="827"/>
      <c r="KOE46" s="198"/>
      <c r="KOF46" s="826"/>
      <c r="KOG46" s="1437"/>
      <c r="KOH46" s="1438"/>
      <c r="KOI46" s="198"/>
      <c r="KOJ46" s="198"/>
      <c r="KOK46" s="198"/>
      <c r="KOL46" s="198"/>
      <c r="KOM46" s="198"/>
      <c r="KON46" s="198"/>
      <c r="KOO46" s="827"/>
      <c r="KOP46" s="198"/>
      <c r="KOQ46" s="826"/>
      <c r="KOR46" s="1437"/>
      <c r="KOS46" s="1438"/>
      <c r="KOT46" s="198"/>
      <c r="KOU46" s="198"/>
      <c r="KOV46" s="198"/>
      <c r="KOW46" s="198"/>
      <c r="KOX46" s="198"/>
      <c r="KOY46" s="198"/>
      <c r="KOZ46" s="827"/>
      <c r="KPA46" s="198"/>
      <c r="KPB46" s="826"/>
      <c r="KPC46" s="1437"/>
      <c r="KPD46" s="1438"/>
      <c r="KPE46" s="198"/>
      <c r="KPF46" s="198"/>
      <c r="KPG46" s="198"/>
      <c r="KPH46" s="198"/>
      <c r="KPI46" s="198"/>
      <c r="KPJ46" s="198"/>
      <c r="KPK46" s="827"/>
      <c r="KPL46" s="198"/>
      <c r="KPM46" s="826"/>
      <c r="KPN46" s="1437"/>
      <c r="KPO46" s="1438"/>
      <c r="KPP46" s="198"/>
      <c r="KPQ46" s="198"/>
      <c r="KPR46" s="198"/>
      <c r="KPS46" s="198"/>
      <c r="KPT46" s="198"/>
      <c r="KPU46" s="198"/>
      <c r="KPV46" s="827"/>
      <c r="KPW46" s="198"/>
      <c r="KPX46" s="826"/>
      <c r="KPY46" s="1437"/>
      <c r="KPZ46" s="1438"/>
      <c r="KQA46" s="198"/>
      <c r="KQB46" s="198"/>
      <c r="KQC46" s="198"/>
      <c r="KQD46" s="198"/>
      <c r="KQE46" s="198"/>
      <c r="KQF46" s="198"/>
      <c r="KQG46" s="827"/>
      <c r="KQH46" s="198"/>
      <c r="KQI46" s="826"/>
      <c r="KQJ46" s="1437"/>
      <c r="KQK46" s="1438"/>
      <c r="KQL46" s="198"/>
      <c r="KQM46" s="198"/>
      <c r="KQN46" s="198"/>
      <c r="KQO46" s="198"/>
      <c r="KQP46" s="198"/>
      <c r="KQQ46" s="198"/>
      <c r="KQR46" s="827"/>
      <c r="KQS46" s="198"/>
      <c r="KQT46" s="826"/>
      <c r="KQU46" s="1437"/>
      <c r="KQV46" s="1438"/>
      <c r="KQW46" s="198"/>
      <c r="KQX46" s="198"/>
      <c r="KQY46" s="198"/>
      <c r="KQZ46" s="198"/>
      <c r="KRA46" s="198"/>
      <c r="KRB46" s="198"/>
      <c r="KRC46" s="827"/>
      <c r="KRD46" s="198"/>
      <c r="KRE46" s="826"/>
      <c r="KRF46" s="1437"/>
      <c r="KRG46" s="1438"/>
      <c r="KRH46" s="198"/>
      <c r="KRI46" s="198"/>
      <c r="KRJ46" s="198"/>
      <c r="KRK46" s="198"/>
      <c r="KRL46" s="198"/>
      <c r="KRM46" s="198"/>
      <c r="KRN46" s="827"/>
      <c r="KRO46" s="198"/>
      <c r="KRP46" s="826"/>
      <c r="KRQ46" s="1437"/>
      <c r="KRR46" s="1438"/>
      <c r="KRS46" s="198"/>
      <c r="KRT46" s="198"/>
      <c r="KRU46" s="198"/>
      <c r="KRV46" s="198"/>
      <c r="KRW46" s="198"/>
      <c r="KRX46" s="198"/>
      <c r="KRY46" s="827"/>
      <c r="KRZ46" s="198"/>
      <c r="KSA46" s="826"/>
      <c r="KSB46" s="1437"/>
      <c r="KSC46" s="1438"/>
      <c r="KSD46" s="198"/>
      <c r="KSE46" s="198"/>
      <c r="KSF46" s="198"/>
      <c r="KSG46" s="198"/>
      <c r="KSH46" s="198"/>
      <c r="KSI46" s="198"/>
      <c r="KSJ46" s="827"/>
      <c r="KSK46" s="198"/>
      <c r="KSL46" s="826"/>
      <c r="KSM46" s="1437"/>
      <c r="KSN46" s="1438"/>
      <c r="KSO46" s="198"/>
      <c r="KSP46" s="198"/>
      <c r="KSQ46" s="198"/>
      <c r="KSR46" s="198"/>
      <c r="KSS46" s="198"/>
      <c r="KST46" s="198"/>
      <c r="KSU46" s="827"/>
      <c r="KSV46" s="198"/>
      <c r="KSW46" s="826"/>
      <c r="KSX46" s="1437"/>
      <c r="KSY46" s="1438"/>
      <c r="KSZ46" s="198"/>
      <c r="KTA46" s="198"/>
      <c r="KTB46" s="198"/>
      <c r="KTC46" s="198"/>
      <c r="KTD46" s="198"/>
      <c r="KTE46" s="198"/>
      <c r="KTF46" s="827"/>
      <c r="KTG46" s="198"/>
      <c r="KTH46" s="826"/>
      <c r="KTI46" s="1437"/>
      <c r="KTJ46" s="1438"/>
      <c r="KTK46" s="198"/>
      <c r="KTL46" s="198"/>
      <c r="KTM46" s="198"/>
      <c r="KTN46" s="198"/>
      <c r="KTO46" s="198"/>
      <c r="KTP46" s="198"/>
      <c r="KTQ46" s="827"/>
      <c r="KTR46" s="198"/>
      <c r="KTS46" s="826"/>
      <c r="KTT46" s="1437"/>
      <c r="KTU46" s="1438"/>
      <c r="KTV46" s="198"/>
      <c r="KTW46" s="198"/>
      <c r="KTX46" s="198"/>
      <c r="KTY46" s="198"/>
      <c r="KTZ46" s="198"/>
      <c r="KUA46" s="198"/>
      <c r="KUB46" s="827"/>
      <c r="KUC46" s="198"/>
      <c r="KUD46" s="826"/>
      <c r="KUE46" s="1437"/>
      <c r="KUF46" s="1438"/>
      <c r="KUG46" s="198"/>
      <c r="KUH46" s="198"/>
      <c r="KUI46" s="198"/>
      <c r="KUJ46" s="198"/>
      <c r="KUK46" s="198"/>
      <c r="KUL46" s="198"/>
      <c r="KUM46" s="827"/>
      <c r="KUN46" s="198"/>
      <c r="KUO46" s="826"/>
      <c r="KUP46" s="1437"/>
      <c r="KUQ46" s="1438"/>
      <c r="KUR46" s="198"/>
      <c r="KUS46" s="198"/>
      <c r="KUT46" s="198"/>
      <c r="KUU46" s="198"/>
      <c r="KUV46" s="198"/>
      <c r="KUW46" s="198"/>
      <c r="KUX46" s="827"/>
      <c r="KUY46" s="198"/>
      <c r="KUZ46" s="826"/>
      <c r="KVA46" s="1437"/>
      <c r="KVB46" s="1438"/>
      <c r="KVC46" s="198"/>
      <c r="KVD46" s="198"/>
      <c r="KVE46" s="198"/>
      <c r="KVF46" s="198"/>
      <c r="KVG46" s="198"/>
      <c r="KVH46" s="198"/>
      <c r="KVI46" s="827"/>
      <c r="KVJ46" s="198"/>
      <c r="KVK46" s="826"/>
      <c r="KVL46" s="1437"/>
      <c r="KVM46" s="1438"/>
      <c r="KVN46" s="198"/>
      <c r="KVO46" s="198"/>
      <c r="KVP46" s="198"/>
      <c r="KVQ46" s="198"/>
      <c r="KVR46" s="198"/>
      <c r="KVS46" s="198"/>
      <c r="KVT46" s="827"/>
      <c r="KVU46" s="198"/>
      <c r="KVV46" s="826"/>
      <c r="KVW46" s="1437"/>
      <c r="KVX46" s="1438"/>
      <c r="KVY46" s="198"/>
      <c r="KVZ46" s="198"/>
      <c r="KWA46" s="198"/>
      <c r="KWB46" s="198"/>
      <c r="KWC46" s="198"/>
      <c r="KWD46" s="198"/>
      <c r="KWE46" s="827"/>
      <c r="KWF46" s="198"/>
      <c r="KWG46" s="826"/>
      <c r="KWH46" s="1437"/>
      <c r="KWI46" s="1438"/>
      <c r="KWJ46" s="198"/>
      <c r="KWK46" s="198"/>
      <c r="KWL46" s="198"/>
      <c r="KWM46" s="198"/>
      <c r="KWN46" s="198"/>
      <c r="KWO46" s="198"/>
      <c r="KWP46" s="827"/>
      <c r="KWQ46" s="198"/>
      <c r="KWR46" s="826"/>
      <c r="KWS46" s="1437"/>
      <c r="KWT46" s="1438"/>
      <c r="KWU46" s="198"/>
      <c r="KWV46" s="198"/>
      <c r="KWW46" s="198"/>
      <c r="KWX46" s="198"/>
      <c r="KWY46" s="198"/>
      <c r="KWZ46" s="198"/>
      <c r="KXA46" s="827"/>
      <c r="KXB46" s="198"/>
      <c r="KXC46" s="826"/>
      <c r="KXD46" s="1437"/>
      <c r="KXE46" s="1438"/>
      <c r="KXF46" s="198"/>
      <c r="KXG46" s="198"/>
      <c r="KXH46" s="198"/>
      <c r="KXI46" s="198"/>
      <c r="KXJ46" s="198"/>
      <c r="KXK46" s="198"/>
      <c r="KXL46" s="827"/>
      <c r="KXM46" s="198"/>
      <c r="KXN46" s="826"/>
      <c r="KXO46" s="1437"/>
      <c r="KXP46" s="1438"/>
      <c r="KXQ46" s="198"/>
      <c r="KXR46" s="198"/>
      <c r="KXS46" s="198"/>
      <c r="KXT46" s="198"/>
      <c r="KXU46" s="198"/>
      <c r="KXV46" s="198"/>
      <c r="KXW46" s="827"/>
      <c r="KXX46" s="198"/>
      <c r="KXY46" s="826"/>
      <c r="KXZ46" s="1437"/>
      <c r="KYA46" s="1438"/>
      <c r="KYB46" s="198"/>
      <c r="KYC46" s="198"/>
      <c r="KYD46" s="198"/>
      <c r="KYE46" s="198"/>
      <c r="KYF46" s="198"/>
      <c r="KYG46" s="198"/>
      <c r="KYH46" s="827"/>
      <c r="KYI46" s="198"/>
      <c r="KYJ46" s="826"/>
      <c r="KYK46" s="1437"/>
      <c r="KYL46" s="1438"/>
      <c r="KYM46" s="198"/>
      <c r="KYN46" s="198"/>
      <c r="KYO46" s="198"/>
      <c r="KYP46" s="198"/>
      <c r="KYQ46" s="198"/>
      <c r="KYR46" s="198"/>
      <c r="KYS46" s="827"/>
      <c r="KYT46" s="198"/>
      <c r="KYU46" s="826"/>
      <c r="KYV46" s="1437"/>
      <c r="KYW46" s="1438"/>
      <c r="KYX46" s="198"/>
      <c r="KYY46" s="198"/>
      <c r="KYZ46" s="198"/>
      <c r="KZA46" s="198"/>
      <c r="KZB46" s="198"/>
      <c r="KZC46" s="198"/>
      <c r="KZD46" s="827"/>
      <c r="KZE46" s="198"/>
      <c r="KZF46" s="826"/>
      <c r="KZG46" s="1437"/>
      <c r="KZH46" s="1438"/>
      <c r="KZI46" s="198"/>
      <c r="KZJ46" s="198"/>
      <c r="KZK46" s="198"/>
      <c r="KZL46" s="198"/>
      <c r="KZM46" s="198"/>
      <c r="KZN46" s="198"/>
      <c r="KZO46" s="827"/>
      <c r="KZP46" s="198"/>
      <c r="KZQ46" s="826"/>
      <c r="KZR46" s="1437"/>
      <c r="KZS46" s="1438"/>
      <c r="KZT46" s="198"/>
      <c r="KZU46" s="198"/>
      <c r="KZV46" s="198"/>
      <c r="KZW46" s="198"/>
      <c r="KZX46" s="198"/>
      <c r="KZY46" s="198"/>
      <c r="KZZ46" s="827"/>
      <c r="LAA46" s="198"/>
      <c r="LAB46" s="826"/>
      <c r="LAC46" s="1437"/>
      <c r="LAD46" s="1438"/>
      <c r="LAE46" s="198"/>
      <c r="LAF46" s="198"/>
      <c r="LAG46" s="198"/>
      <c r="LAH46" s="198"/>
      <c r="LAI46" s="198"/>
      <c r="LAJ46" s="198"/>
      <c r="LAK46" s="827"/>
      <c r="LAL46" s="198"/>
      <c r="LAM46" s="826"/>
      <c r="LAN46" s="1437"/>
      <c r="LAO46" s="1438"/>
      <c r="LAP46" s="198"/>
      <c r="LAQ46" s="198"/>
      <c r="LAR46" s="198"/>
      <c r="LAS46" s="198"/>
      <c r="LAT46" s="198"/>
      <c r="LAU46" s="198"/>
      <c r="LAV46" s="827"/>
      <c r="LAW46" s="198"/>
      <c r="LAX46" s="826"/>
      <c r="LAY46" s="1437"/>
      <c r="LAZ46" s="1438"/>
      <c r="LBA46" s="198"/>
      <c r="LBB46" s="198"/>
      <c r="LBC46" s="198"/>
      <c r="LBD46" s="198"/>
      <c r="LBE46" s="198"/>
      <c r="LBF46" s="198"/>
      <c r="LBG46" s="827"/>
      <c r="LBH46" s="198"/>
      <c r="LBI46" s="826"/>
      <c r="LBJ46" s="1437"/>
      <c r="LBK46" s="1438"/>
      <c r="LBL46" s="198"/>
      <c r="LBM46" s="198"/>
      <c r="LBN46" s="198"/>
      <c r="LBO46" s="198"/>
      <c r="LBP46" s="198"/>
      <c r="LBQ46" s="198"/>
      <c r="LBR46" s="827"/>
      <c r="LBS46" s="198"/>
      <c r="LBT46" s="826"/>
      <c r="LBU46" s="1437"/>
      <c r="LBV46" s="1438"/>
      <c r="LBW46" s="198"/>
      <c r="LBX46" s="198"/>
      <c r="LBY46" s="198"/>
      <c r="LBZ46" s="198"/>
      <c r="LCA46" s="198"/>
      <c r="LCB46" s="198"/>
      <c r="LCC46" s="827"/>
      <c r="LCD46" s="198"/>
      <c r="LCE46" s="826"/>
      <c r="LCF46" s="1437"/>
      <c r="LCG46" s="1438"/>
      <c r="LCH46" s="198"/>
      <c r="LCI46" s="198"/>
      <c r="LCJ46" s="198"/>
      <c r="LCK46" s="198"/>
      <c r="LCL46" s="198"/>
      <c r="LCM46" s="198"/>
      <c r="LCN46" s="827"/>
      <c r="LCO46" s="198"/>
      <c r="LCP46" s="826"/>
      <c r="LCQ46" s="1437"/>
      <c r="LCR46" s="1438"/>
      <c r="LCS46" s="198"/>
      <c r="LCT46" s="198"/>
      <c r="LCU46" s="198"/>
      <c r="LCV46" s="198"/>
      <c r="LCW46" s="198"/>
      <c r="LCX46" s="198"/>
      <c r="LCY46" s="827"/>
      <c r="LCZ46" s="198"/>
      <c r="LDA46" s="826"/>
      <c r="LDB46" s="1437"/>
      <c r="LDC46" s="1438"/>
      <c r="LDD46" s="198"/>
      <c r="LDE46" s="198"/>
      <c r="LDF46" s="198"/>
      <c r="LDG46" s="198"/>
      <c r="LDH46" s="198"/>
      <c r="LDI46" s="198"/>
      <c r="LDJ46" s="827"/>
      <c r="LDK46" s="198"/>
      <c r="LDL46" s="826"/>
      <c r="LDM46" s="1437"/>
      <c r="LDN46" s="1438"/>
      <c r="LDO46" s="198"/>
      <c r="LDP46" s="198"/>
      <c r="LDQ46" s="198"/>
      <c r="LDR46" s="198"/>
      <c r="LDS46" s="198"/>
      <c r="LDT46" s="198"/>
      <c r="LDU46" s="827"/>
      <c r="LDV46" s="198"/>
      <c r="LDW46" s="826"/>
      <c r="LDX46" s="1437"/>
      <c r="LDY46" s="1438"/>
      <c r="LDZ46" s="198"/>
      <c r="LEA46" s="198"/>
      <c r="LEB46" s="198"/>
      <c r="LEC46" s="198"/>
      <c r="LED46" s="198"/>
      <c r="LEE46" s="198"/>
      <c r="LEF46" s="827"/>
      <c r="LEG46" s="198"/>
      <c r="LEH46" s="826"/>
      <c r="LEI46" s="1437"/>
      <c r="LEJ46" s="1438"/>
      <c r="LEK46" s="198"/>
      <c r="LEL46" s="198"/>
      <c r="LEM46" s="198"/>
      <c r="LEN46" s="198"/>
      <c r="LEO46" s="198"/>
      <c r="LEP46" s="198"/>
      <c r="LEQ46" s="827"/>
      <c r="LER46" s="198"/>
      <c r="LES46" s="826"/>
      <c r="LET46" s="1437"/>
      <c r="LEU46" s="1438"/>
      <c r="LEV46" s="198"/>
      <c r="LEW46" s="198"/>
      <c r="LEX46" s="198"/>
      <c r="LEY46" s="198"/>
      <c r="LEZ46" s="198"/>
      <c r="LFA46" s="198"/>
      <c r="LFB46" s="827"/>
      <c r="LFC46" s="198"/>
      <c r="LFD46" s="826"/>
      <c r="LFE46" s="1437"/>
      <c r="LFF46" s="1438"/>
      <c r="LFG46" s="198"/>
      <c r="LFH46" s="198"/>
      <c r="LFI46" s="198"/>
      <c r="LFJ46" s="198"/>
      <c r="LFK46" s="198"/>
      <c r="LFL46" s="198"/>
      <c r="LFM46" s="827"/>
      <c r="LFN46" s="198"/>
      <c r="LFO46" s="826"/>
      <c r="LFP46" s="1437"/>
      <c r="LFQ46" s="1438"/>
      <c r="LFR46" s="198"/>
      <c r="LFS46" s="198"/>
      <c r="LFT46" s="198"/>
      <c r="LFU46" s="198"/>
      <c r="LFV46" s="198"/>
      <c r="LFW46" s="198"/>
      <c r="LFX46" s="827"/>
      <c r="LFY46" s="198"/>
      <c r="LFZ46" s="826"/>
      <c r="LGA46" s="1437"/>
      <c r="LGB46" s="1438"/>
      <c r="LGC46" s="198"/>
      <c r="LGD46" s="198"/>
      <c r="LGE46" s="198"/>
      <c r="LGF46" s="198"/>
      <c r="LGG46" s="198"/>
      <c r="LGH46" s="198"/>
      <c r="LGI46" s="827"/>
      <c r="LGJ46" s="198"/>
      <c r="LGK46" s="826"/>
      <c r="LGL46" s="1437"/>
      <c r="LGM46" s="1438"/>
      <c r="LGN46" s="198"/>
      <c r="LGO46" s="198"/>
      <c r="LGP46" s="198"/>
      <c r="LGQ46" s="198"/>
      <c r="LGR46" s="198"/>
      <c r="LGS46" s="198"/>
      <c r="LGT46" s="827"/>
      <c r="LGU46" s="198"/>
      <c r="LGV46" s="826"/>
      <c r="LGW46" s="1437"/>
      <c r="LGX46" s="1438"/>
      <c r="LGY46" s="198"/>
      <c r="LGZ46" s="198"/>
      <c r="LHA46" s="198"/>
      <c r="LHB46" s="198"/>
      <c r="LHC46" s="198"/>
      <c r="LHD46" s="198"/>
      <c r="LHE46" s="827"/>
      <c r="LHF46" s="198"/>
      <c r="LHG46" s="826"/>
      <c r="LHH46" s="1437"/>
      <c r="LHI46" s="1438"/>
      <c r="LHJ46" s="198"/>
      <c r="LHK46" s="198"/>
      <c r="LHL46" s="198"/>
      <c r="LHM46" s="198"/>
      <c r="LHN46" s="198"/>
      <c r="LHO46" s="198"/>
      <c r="LHP46" s="827"/>
      <c r="LHQ46" s="198"/>
      <c r="LHR46" s="826"/>
      <c r="LHS46" s="1437"/>
      <c r="LHT46" s="1438"/>
      <c r="LHU46" s="198"/>
      <c r="LHV46" s="198"/>
      <c r="LHW46" s="198"/>
      <c r="LHX46" s="198"/>
      <c r="LHY46" s="198"/>
      <c r="LHZ46" s="198"/>
      <c r="LIA46" s="827"/>
      <c r="LIB46" s="198"/>
      <c r="LIC46" s="826"/>
      <c r="LID46" s="1437"/>
      <c r="LIE46" s="1438"/>
      <c r="LIF46" s="198"/>
      <c r="LIG46" s="198"/>
      <c r="LIH46" s="198"/>
      <c r="LII46" s="198"/>
      <c r="LIJ46" s="198"/>
      <c r="LIK46" s="198"/>
      <c r="LIL46" s="827"/>
      <c r="LIM46" s="198"/>
      <c r="LIN46" s="826"/>
      <c r="LIO46" s="1437"/>
      <c r="LIP46" s="1438"/>
      <c r="LIQ46" s="198"/>
      <c r="LIR46" s="198"/>
      <c r="LIS46" s="198"/>
      <c r="LIT46" s="198"/>
      <c r="LIU46" s="198"/>
      <c r="LIV46" s="198"/>
      <c r="LIW46" s="827"/>
      <c r="LIX46" s="198"/>
      <c r="LIY46" s="826"/>
      <c r="LIZ46" s="1437"/>
      <c r="LJA46" s="1438"/>
      <c r="LJB46" s="198"/>
      <c r="LJC46" s="198"/>
      <c r="LJD46" s="198"/>
      <c r="LJE46" s="198"/>
      <c r="LJF46" s="198"/>
      <c r="LJG46" s="198"/>
      <c r="LJH46" s="827"/>
      <c r="LJI46" s="198"/>
      <c r="LJJ46" s="826"/>
      <c r="LJK46" s="1437"/>
      <c r="LJL46" s="1438"/>
      <c r="LJM46" s="198"/>
      <c r="LJN46" s="198"/>
      <c r="LJO46" s="198"/>
      <c r="LJP46" s="198"/>
      <c r="LJQ46" s="198"/>
      <c r="LJR46" s="198"/>
      <c r="LJS46" s="827"/>
      <c r="LJT46" s="198"/>
      <c r="LJU46" s="826"/>
      <c r="LJV46" s="1437"/>
      <c r="LJW46" s="1438"/>
      <c r="LJX46" s="198"/>
      <c r="LJY46" s="198"/>
      <c r="LJZ46" s="198"/>
      <c r="LKA46" s="198"/>
      <c r="LKB46" s="198"/>
      <c r="LKC46" s="198"/>
      <c r="LKD46" s="827"/>
      <c r="LKE46" s="198"/>
      <c r="LKF46" s="826"/>
      <c r="LKG46" s="1437"/>
      <c r="LKH46" s="1438"/>
      <c r="LKI46" s="198"/>
      <c r="LKJ46" s="198"/>
      <c r="LKK46" s="198"/>
      <c r="LKL46" s="198"/>
      <c r="LKM46" s="198"/>
      <c r="LKN46" s="198"/>
      <c r="LKO46" s="827"/>
      <c r="LKP46" s="198"/>
      <c r="LKQ46" s="826"/>
      <c r="LKR46" s="1437"/>
      <c r="LKS46" s="1438"/>
      <c r="LKT46" s="198"/>
      <c r="LKU46" s="198"/>
      <c r="LKV46" s="198"/>
      <c r="LKW46" s="198"/>
      <c r="LKX46" s="198"/>
      <c r="LKY46" s="198"/>
      <c r="LKZ46" s="827"/>
      <c r="LLA46" s="198"/>
      <c r="LLB46" s="826"/>
      <c r="LLC46" s="1437"/>
      <c r="LLD46" s="1438"/>
      <c r="LLE46" s="198"/>
      <c r="LLF46" s="198"/>
      <c r="LLG46" s="198"/>
      <c r="LLH46" s="198"/>
      <c r="LLI46" s="198"/>
      <c r="LLJ46" s="198"/>
      <c r="LLK46" s="827"/>
      <c r="LLL46" s="198"/>
      <c r="LLM46" s="826"/>
      <c r="LLN46" s="1437"/>
      <c r="LLO46" s="1438"/>
      <c r="LLP46" s="198"/>
      <c r="LLQ46" s="198"/>
      <c r="LLR46" s="198"/>
      <c r="LLS46" s="198"/>
      <c r="LLT46" s="198"/>
      <c r="LLU46" s="198"/>
      <c r="LLV46" s="827"/>
      <c r="LLW46" s="198"/>
      <c r="LLX46" s="826"/>
      <c r="LLY46" s="1437"/>
      <c r="LLZ46" s="1438"/>
      <c r="LMA46" s="198"/>
      <c r="LMB46" s="198"/>
      <c r="LMC46" s="198"/>
      <c r="LMD46" s="198"/>
      <c r="LME46" s="198"/>
      <c r="LMF46" s="198"/>
      <c r="LMG46" s="827"/>
      <c r="LMH46" s="198"/>
      <c r="LMI46" s="826"/>
      <c r="LMJ46" s="1437"/>
      <c r="LMK46" s="1438"/>
      <c r="LML46" s="198"/>
      <c r="LMM46" s="198"/>
      <c r="LMN46" s="198"/>
      <c r="LMO46" s="198"/>
      <c r="LMP46" s="198"/>
      <c r="LMQ46" s="198"/>
      <c r="LMR46" s="827"/>
      <c r="LMS46" s="198"/>
      <c r="LMT46" s="826"/>
      <c r="LMU46" s="1437"/>
      <c r="LMV46" s="1438"/>
      <c r="LMW46" s="198"/>
      <c r="LMX46" s="198"/>
      <c r="LMY46" s="198"/>
      <c r="LMZ46" s="198"/>
      <c r="LNA46" s="198"/>
      <c r="LNB46" s="198"/>
      <c r="LNC46" s="827"/>
      <c r="LND46" s="198"/>
      <c r="LNE46" s="826"/>
      <c r="LNF46" s="1437"/>
      <c r="LNG46" s="1438"/>
      <c r="LNH46" s="198"/>
      <c r="LNI46" s="198"/>
      <c r="LNJ46" s="198"/>
      <c r="LNK46" s="198"/>
      <c r="LNL46" s="198"/>
      <c r="LNM46" s="198"/>
      <c r="LNN46" s="827"/>
      <c r="LNO46" s="198"/>
      <c r="LNP46" s="826"/>
      <c r="LNQ46" s="1437"/>
      <c r="LNR46" s="1438"/>
      <c r="LNS46" s="198"/>
      <c r="LNT46" s="198"/>
      <c r="LNU46" s="198"/>
      <c r="LNV46" s="198"/>
      <c r="LNW46" s="198"/>
      <c r="LNX46" s="198"/>
      <c r="LNY46" s="827"/>
      <c r="LNZ46" s="198"/>
      <c r="LOA46" s="826"/>
      <c r="LOB46" s="1437"/>
      <c r="LOC46" s="1438"/>
      <c r="LOD46" s="198"/>
      <c r="LOE46" s="198"/>
      <c r="LOF46" s="198"/>
      <c r="LOG46" s="198"/>
      <c r="LOH46" s="198"/>
      <c r="LOI46" s="198"/>
      <c r="LOJ46" s="827"/>
      <c r="LOK46" s="198"/>
      <c r="LOL46" s="826"/>
      <c r="LOM46" s="1437"/>
      <c r="LON46" s="1438"/>
      <c r="LOO46" s="198"/>
      <c r="LOP46" s="198"/>
      <c r="LOQ46" s="198"/>
      <c r="LOR46" s="198"/>
      <c r="LOS46" s="198"/>
      <c r="LOT46" s="198"/>
      <c r="LOU46" s="827"/>
      <c r="LOV46" s="198"/>
      <c r="LOW46" s="826"/>
      <c r="LOX46" s="1437"/>
      <c r="LOY46" s="1438"/>
      <c r="LOZ46" s="198"/>
      <c r="LPA46" s="198"/>
      <c r="LPB46" s="198"/>
      <c r="LPC46" s="198"/>
      <c r="LPD46" s="198"/>
      <c r="LPE46" s="198"/>
      <c r="LPF46" s="827"/>
      <c r="LPG46" s="198"/>
      <c r="LPH46" s="826"/>
      <c r="LPI46" s="1437"/>
      <c r="LPJ46" s="1438"/>
      <c r="LPK46" s="198"/>
      <c r="LPL46" s="198"/>
      <c r="LPM46" s="198"/>
      <c r="LPN46" s="198"/>
      <c r="LPO46" s="198"/>
      <c r="LPP46" s="198"/>
      <c r="LPQ46" s="827"/>
      <c r="LPR46" s="198"/>
      <c r="LPS46" s="826"/>
      <c r="LPT46" s="1437"/>
      <c r="LPU46" s="1438"/>
      <c r="LPV46" s="198"/>
      <c r="LPW46" s="198"/>
      <c r="LPX46" s="198"/>
      <c r="LPY46" s="198"/>
      <c r="LPZ46" s="198"/>
      <c r="LQA46" s="198"/>
      <c r="LQB46" s="827"/>
      <c r="LQC46" s="198"/>
      <c r="LQD46" s="826"/>
      <c r="LQE46" s="1437"/>
      <c r="LQF46" s="1438"/>
      <c r="LQG46" s="198"/>
      <c r="LQH46" s="198"/>
      <c r="LQI46" s="198"/>
      <c r="LQJ46" s="198"/>
      <c r="LQK46" s="198"/>
      <c r="LQL46" s="198"/>
      <c r="LQM46" s="827"/>
      <c r="LQN46" s="198"/>
      <c r="LQO46" s="826"/>
      <c r="LQP46" s="1437"/>
      <c r="LQQ46" s="1438"/>
      <c r="LQR46" s="198"/>
      <c r="LQS46" s="198"/>
      <c r="LQT46" s="198"/>
      <c r="LQU46" s="198"/>
      <c r="LQV46" s="198"/>
      <c r="LQW46" s="198"/>
      <c r="LQX46" s="827"/>
      <c r="LQY46" s="198"/>
      <c r="LQZ46" s="826"/>
      <c r="LRA46" s="1437"/>
      <c r="LRB46" s="1438"/>
      <c r="LRC46" s="198"/>
      <c r="LRD46" s="198"/>
      <c r="LRE46" s="198"/>
      <c r="LRF46" s="198"/>
      <c r="LRG46" s="198"/>
      <c r="LRH46" s="198"/>
      <c r="LRI46" s="827"/>
      <c r="LRJ46" s="198"/>
      <c r="LRK46" s="826"/>
      <c r="LRL46" s="1437"/>
      <c r="LRM46" s="1438"/>
      <c r="LRN46" s="198"/>
      <c r="LRO46" s="198"/>
      <c r="LRP46" s="198"/>
      <c r="LRQ46" s="198"/>
      <c r="LRR46" s="198"/>
      <c r="LRS46" s="198"/>
      <c r="LRT46" s="827"/>
      <c r="LRU46" s="198"/>
      <c r="LRV46" s="826"/>
      <c r="LRW46" s="1437"/>
      <c r="LRX46" s="1438"/>
      <c r="LRY46" s="198"/>
      <c r="LRZ46" s="198"/>
      <c r="LSA46" s="198"/>
      <c r="LSB46" s="198"/>
      <c r="LSC46" s="198"/>
      <c r="LSD46" s="198"/>
      <c r="LSE46" s="827"/>
      <c r="LSF46" s="198"/>
      <c r="LSG46" s="826"/>
      <c r="LSH46" s="1437"/>
      <c r="LSI46" s="1438"/>
      <c r="LSJ46" s="198"/>
      <c r="LSK46" s="198"/>
      <c r="LSL46" s="198"/>
      <c r="LSM46" s="198"/>
      <c r="LSN46" s="198"/>
      <c r="LSO46" s="198"/>
      <c r="LSP46" s="827"/>
      <c r="LSQ46" s="198"/>
      <c r="LSR46" s="826"/>
      <c r="LSS46" s="1437"/>
      <c r="LST46" s="1438"/>
      <c r="LSU46" s="198"/>
      <c r="LSV46" s="198"/>
      <c r="LSW46" s="198"/>
      <c r="LSX46" s="198"/>
      <c r="LSY46" s="198"/>
      <c r="LSZ46" s="198"/>
      <c r="LTA46" s="827"/>
      <c r="LTB46" s="198"/>
      <c r="LTC46" s="826"/>
      <c r="LTD46" s="1437"/>
      <c r="LTE46" s="1438"/>
      <c r="LTF46" s="198"/>
      <c r="LTG46" s="198"/>
      <c r="LTH46" s="198"/>
      <c r="LTI46" s="198"/>
      <c r="LTJ46" s="198"/>
      <c r="LTK46" s="198"/>
      <c r="LTL46" s="827"/>
      <c r="LTM46" s="198"/>
      <c r="LTN46" s="826"/>
      <c r="LTO46" s="1437"/>
      <c r="LTP46" s="1438"/>
      <c r="LTQ46" s="198"/>
      <c r="LTR46" s="198"/>
      <c r="LTS46" s="198"/>
      <c r="LTT46" s="198"/>
      <c r="LTU46" s="198"/>
      <c r="LTV46" s="198"/>
      <c r="LTW46" s="827"/>
      <c r="LTX46" s="198"/>
      <c r="LTY46" s="826"/>
      <c r="LTZ46" s="1437"/>
      <c r="LUA46" s="1438"/>
      <c r="LUB46" s="198"/>
      <c r="LUC46" s="198"/>
      <c r="LUD46" s="198"/>
      <c r="LUE46" s="198"/>
      <c r="LUF46" s="198"/>
      <c r="LUG46" s="198"/>
      <c r="LUH46" s="827"/>
      <c r="LUI46" s="198"/>
      <c r="LUJ46" s="826"/>
      <c r="LUK46" s="1437"/>
      <c r="LUL46" s="1438"/>
      <c r="LUM46" s="198"/>
      <c r="LUN46" s="198"/>
      <c r="LUO46" s="198"/>
      <c r="LUP46" s="198"/>
      <c r="LUQ46" s="198"/>
      <c r="LUR46" s="198"/>
      <c r="LUS46" s="827"/>
      <c r="LUT46" s="198"/>
      <c r="LUU46" s="826"/>
      <c r="LUV46" s="1437"/>
      <c r="LUW46" s="1438"/>
      <c r="LUX46" s="198"/>
      <c r="LUY46" s="198"/>
      <c r="LUZ46" s="198"/>
      <c r="LVA46" s="198"/>
      <c r="LVB46" s="198"/>
      <c r="LVC46" s="198"/>
      <c r="LVD46" s="827"/>
      <c r="LVE46" s="198"/>
      <c r="LVF46" s="826"/>
      <c r="LVG46" s="1437"/>
      <c r="LVH46" s="1438"/>
      <c r="LVI46" s="198"/>
      <c r="LVJ46" s="198"/>
      <c r="LVK46" s="198"/>
      <c r="LVL46" s="198"/>
      <c r="LVM46" s="198"/>
      <c r="LVN46" s="198"/>
      <c r="LVO46" s="827"/>
      <c r="LVP46" s="198"/>
      <c r="LVQ46" s="826"/>
      <c r="LVR46" s="1437"/>
      <c r="LVS46" s="1438"/>
      <c r="LVT46" s="198"/>
      <c r="LVU46" s="198"/>
      <c r="LVV46" s="198"/>
      <c r="LVW46" s="198"/>
      <c r="LVX46" s="198"/>
      <c r="LVY46" s="198"/>
      <c r="LVZ46" s="827"/>
      <c r="LWA46" s="198"/>
      <c r="LWB46" s="826"/>
      <c r="LWC46" s="1437"/>
      <c r="LWD46" s="1438"/>
      <c r="LWE46" s="198"/>
      <c r="LWF46" s="198"/>
      <c r="LWG46" s="198"/>
      <c r="LWH46" s="198"/>
      <c r="LWI46" s="198"/>
      <c r="LWJ46" s="198"/>
      <c r="LWK46" s="827"/>
      <c r="LWL46" s="198"/>
      <c r="LWM46" s="826"/>
      <c r="LWN46" s="1437"/>
      <c r="LWO46" s="1438"/>
      <c r="LWP46" s="198"/>
      <c r="LWQ46" s="198"/>
      <c r="LWR46" s="198"/>
      <c r="LWS46" s="198"/>
      <c r="LWT46" s="198"/>
      <c r="LWU46" s="198"/>
      <c r="LWV46" s="827"/>
      <c r="LWW46" s="198"/>
      <c r="LWX46" s="826"/>
      <c r="LWY46" s="1437"/>
      <c r="LWZ46" s="1438"/>
      <c r="LXA46" s="198"/>
      <c r="LXB46" s="198"/>
      <c r="LXC46" s="198"/>
      <c r="LXD46" s="198"/>
      <c r="LXE46" s="198"/>
      <c r="LXF46" s="198"/>
      <c r="LXG46" s="827"/>
      <c r="LXH46" s="198"/>
      <c r="LXI46" s="826"/>
      <c r="LXJ46" s="1437"/>
      <c r="LXK46" s="1438"/>
      <c r="LXL46" s="198"/>
      <c r="LXM46" s="198"/>
      <c r="LXN46" s="198"/>
      <c r="LXO46" s="198"/>
      <c r="LXP46" s="198"/>
      <c r="LXQ46" s="198"/>
      <c r="LXR46" s="827"/>
      <c r="LXS46" s="198"/>
      <c r="LXT46" s="826"/>
      <c r="LXU46" s="1437"/>
      <c r="LXV46" s="1438"/>
      <c r="LXW46" s="198"/>
      <c r="LXX46" s="198"/>
      <c r="LXY46" s="198"/>
      <c r="LXZ46" s="198"/>
      <c r="LYA46" s="198"/>
      <c r="LYB46" s="198"/>
      <c r="LYC46" s="827"/>
      <c r="LYD46" s="198"/>
      <c r="LYE46" s="826"/>
      <c r="LYF46" s="1437"/>
      <c r="LYG46" s="1438"/>
      <c r="LYH46" s="198"/>
      <c r="LYI46" s="198"/>
      <c r="LYJ46" s="198"/>
      <c r="LYK46" s="198"/>
      <c r="LYL46" s="198"/>
      <c r="LYM46" s="198"/>
      <c r="LYN46" s="827"/>
      <c r="LYO46" s="198"/>
      <c r="LYP46" s="826"/>
      <c r="LYQ46" s="1437"/>
      <c r="LYR46" s="1438"/>
      <c r="LYS46" s="198"/>
      <c r="LYT46" s="198"/>
      <c r="LYU46" s="198"/>
      <c r="LYV46" s="198"/>
      <c r="LYW46" s="198"/>
      <c r="LYX46" s="198"/>
      <c r="LYY46" s="827"/>
      <c r="LYZ46" s="198"/>
      <c r="LZA46" s="826"/>
      <c r="LZB46" s="1437"/>
      <c r="LZC46" s="1438"/>
      <c r="LZD46" s="198"/>
      <c r="LZE46" s="198"/>
      <c r="LZF46" s="198"/>
      <c r="LZG46" s="198"/>
      <c r="LZH46" s="198"/>
      <c r="LZI46" s="198"/>
      <c r="LZJ46" s="827"/>
      <c r="LZK46" s="198"/>
      <c r="LZL46" s="826"/>
      <c r="LZM46" s="1437"/>
      <c r="LZN46" s="1438"/>
      <c r="LZO46" s="198"/>
      <c r="LZP46" s="198"/>
      <c r="LZQ46" s="198"/>
      <c r="LZR46" s="198"/>
      <c r="LZS46" s="198"/>
      <c r="LZT46" s="198"/>
      <c r="LZU46" s="827"/>
      <c r="LZV46" s="198"/>
      <c r="LZW46" s="826"/>
      <c r="LZX46" s="1437"/>
      <c r="LZY46" s="1438"/>
      <c r="LZZ46" s="198"/>
      <c r="MAA46" s="198"/>
      <c r="MAB46" s="198"/>
      <c r="MAC46" s="198"/>
      <c r="MAD46" s="198"/>
      <c r="MAE46" s="198"/>
      <c r="MAF46" s="827"/>
      <c r="MAG46" s="198"/>
      <c r="MAH46" s="826"/>
      <c r="MAI46" s="1437"/>
      <c r="MAJ46" s="1438"/>
      <c r="MAK46" s="198"/>
      <c r="MAL46" s="198"/>
      <c r="MAM46" s="198"/>
      <c r="MAN46" s="198"/>
      <c r="MAO46" s="198"/>
      <c r="MAP46" s="198"/>
      <c r="MAQ46" s="827"/>
      <c r="MAR46" s="198"/>
      <c r="MAS46" s="826"/>
      <c r="MAT46" s="1437"/>
      <c r="MAU46" s="1438"/>
      <c r="MAV46" s="198"/>
      <c r="MAW46" s="198"/>
      <c r="MAX46" s="198"/>
      <c r="MAY46" s="198"/>
      <c r="MAZ46" s="198"/>
      <c r="MBA46" s="198"/>
      <c r="MBB46" s="827"/>
      <c r="MBC46" s="198"/>
      <c r="MBD46" s="826"/>
      <c r="MBE46" s="1437"/>
      <c r="MBF46" s="1438"/>
      <c r="MBG46" s="198"/>
      <c r="MBH46" s="198"/>
      <c r="MBI46" s="198"/>
      <c r="MBJ46" s="198"/>
      <c r="MBK46" s="198"/>
      <c r="MBL46" s="198"/>
      <c r="MBM46" s="827"/>
      <c r="MBN46" s="198"/>
      <c r="MBO46" s="826"/>
      <c r="MBP46" s="1437"/>
      <c r="MBQ46" s="1438"/>
      <c r="MBR46" s="198"/>
      <c r="MBS46" s="198"/>
      <c r="MBT46" s="198"/>
      <c r="MBU46" s="198"/>
      <c r="MBV46" s="198"/>
      <c r="MBW46" s="198"/>
      <c r="MBX46" s="827"/>
      <c r="MBY46" s="198"/>
      <c r="MBZ46" s="826"/>
      <c r="MCA46" s="1437"/>
      <c r="MCB46" s="1438"/>
      <c r="MCC46" s="198"/>
      <c r="MCD46" s="198"/>
      <c r="MCE46" s="198"/>
      <c r="MCF46" s="198"/>
      <c r="MCG46" s="198"/>
      <c r="MCH46" s="198"/>
      <c r="MCI46" s="827"/>
      <c r="MCJ46" s="198"/>
      <c r="MCK46" s="826"/>
      <c r="MCL46" s="1437"/>
      <c r="MCM46" s="1438"/>
      <c r="MCN46" s="198"/>
      <c r="MCO46" s="198"/>
      <c r="MCP46" s="198"/>
      <c r="MCQ46" s="198"/>
      <c r="MCR46" s="198"/>
      <c r="MCS46" s="198"/>
      <c r="MCT46" s="827"/>
      <c r="MCU46" s="198"/>
      <c r="MCV46" s="826"/>
      <c r="MCW46" s="1437"/>
      <c r="MCX46" s="1438"/>
      <c r="MCY46" s="198"/>
      <c r="MCZ46" s="198"/>
      <c r="MDA46" s="198"/>
      <c r="MDB46" s="198"/>
      <c r="MDC46" s="198"/>
      <c r="MDD46" s="198"/>
      <c r="MDE46" s="827"/>
      <c r="MDF46" s="198"/>
      <c r="MDG46" s="826"/>
      <c r="MDH46" s="1437"/>
      <c r="MDI46" s="1438"/>
      <c r="MDJ46" s="198"/>
      <c r="MDK46" s="198"/>
      <c r="MDL46" s="198"/>
      <c r="MDM46" s="198"/>
      <c r="MDN46" s="198"/>
      <c r="MDO46" s="198"/>
      <c r="MDP46" s="827"/>
      <c r="MDQ46" s="198"/>
      <c r="MDR46" s="826"/>
      <c r="MDS46" s="1437"/>
      <c r="MDT46" s="1438"/>
      <c r="MDU46" s="198"/>
      <c r="MDV46" s="198"/>
      <c r="MDW46" s="198"/>
      <c r="MDX46" s="198"/>
      <c r="MDY46" s="198"/>
      <c r="MDZ46" s="198"/>
      <c r="MEA46" s="827"/>
      <c r="MEB46" s="198"/>
      <c r="MEC46" s="826"/>
      <c r="MED46" s="1437"/>
      <c r="MEE46" s="1438"/>
      <c r="MEF46" s="198"/>
      <c r="MEG46" s="198"/>
      <c r="MEH46" s="198"/>
      <c r="MEI46" s="198"/>
      <c r="MEJ46" s="198"/>
      <c r="MEK46" s="198"/>
      <c r="MEL46" s="827"/>
      <c r="MEM46" s="198"/>
      <c r="MEN46" s="826"/>
      <c r="MEO46" s="1437"/>
      <c r="MEP46" s="1438"/>
      <c r="MEQ46" s="198"/>
      <c r="MER46" s="198"/>
      <c r="MES46" s="198"/>
      <c r="MET46" s="198"/>
      <c r="MEU46" s="198"/>
      <c r="MEV46" s="198"/>
      <c r="MEW46" s="827"/>
      <c r="MEX46" s="198"/>
      <c r="MEY46" s="826"/>
      <c r="MEZ46" s="1437"/>
      <c r="MFA46" s="1438"/>
      <c r="MFB46" s="198"/>
      <c r="MFC46" s="198"/>
      <c r="MFD46" s="198"/>
      <c r="MFE46" s="198"/>
      <c r="MFF46" s="198"/>
      <c r="MFG46" s="198"/>
      <c r="MFH46" s="827"/>
      <c r="MFI46" s="198"/>
      <c r="MFJ46" s="826"/>
      <c r="MFK46" s="1437"/>
      <c r="MFL46" s="1438"/>
      <c r="MFM46" s="198"/>
      <c r="MFN46" s="198"/>
      <c r="MFO46" s="198"/>
      <c r="MFP46" s="198"/>
      <c r="MFQ46" s="198"/>
      <c r="MFR46" s="198"/>
      <c r="MFS46" s="827"/>
      <c r="MFT46" s="198"/>
      <c r="MFU46" s="826"/>
      <c r="MFV46" s="1437"/>
      <c r="MFW46" s="1438"/>
      <c r="MFX46" s="198"/>
      <c r="MFY46" s="198"/>
      <c r="MFZ46" s="198"/>
      <c r="MGA46" s="198"/>
      <c r="MGB46" s="198"/>
      <c r="MGC46" s="198"/>
      <c r="MGD46" s="827"/>
      <c r="MGE46" s="198"/>
      <c r="MGF46" s="826"/>
      <c r="MGG46" s="1437"/>
      <c r="MGH46" s="1438"/>
      <c r="MGI46" s="198"/>
      <c r="MGJ46" s="198"/>
      <c r="MGK46" s="198"/>
      <c r="MGL46" s="198"/>
      <c r="MGM46" s="198"/>
      <c r="MGN46" s="198"/>
      <c r="MGO46" s="827"/>
      <c r="MGP46" s="198"/>
      <c r="MGQ46" s="826"/>
      <c r="MGR46" s="1437"/>
      <c r="MGS46" s="1438"/>
      <c r="MGT46" s="198"/>
      <c r="MGU46" s="198"/>
      <c r="MGV46" s="198"/>
      <c r="MGW46" s="198"/>
      <c r="MGX46" s="198"/>
      <c r="MGY46" s="198"/>
      <c r="MGZ46" s="827"/>
      <c r="MHA46" s="198"/>
      <c r="MHB46" s="826"/>
      <c r="MHC46" s="1437"/>
      <c r="MHD46" s="1438"/>
      <c r="MHE46" s="198"/>
      <c r="MHF46" s="198"/>
      <c r="MHG46" s="198"/>
      <c r="MHH46" s="198"/>
      <c r="MHI46" s="198"/>
      <c r="MHJ46" s="198"/>
      <c r="MHK46" s="827"/>
      <c r="MHL46" s="198"/>
      <c r="MHM46" s="826"/>
      <c r="MHN46" s="1437"/>
      <c r="MHO46" s="1438"/>
      <c r="MHP46" s="198"/>
      <c r="MHQ46" s="198"/>
      <c r="MHR46" s="198"/>
      <c r="MHS46" s="198"/>
      <c r="MHT46" s="198"/>
      <c r="MHU46" s="198"/>
      <c r="MHV46" s="827"/>
      <c r="MHW46" s="198"/>
      <c r="MHX46" s="826"/>
      <c r="MHY46" s="1437"/>
      <c r="MHZ46" s="1438"/>
      <c r="MIA46" s="198"/>
      <c r="MIB46" s="198"/>
      <c r="MIC46" s="198"/>
      <c r="MID46" s="198"/>
      <c r="MIE46" s="198"/>
      <c r="MIF46" s="198"/>
      <c r="MIG46" s="827"/>
      <c r="MIH46" s="198"/>
      <c r="MII46" s="826"/>
      <c r="MIJ46" s="1437"/>
      <c r="MIK46" s="1438"/>
      <c r="MIL46" s="198"/>
      <c r="MIM46" s="198"/>
      <c r="MIN46" s="198"/>
      <c r="MIO46" s="198"/>
      <c r="MIP46" s="198"/>
      <c r="MIQ46" s="198"/>
      <c r="MIR46" s="827"/>
      <c r="MIS46" s="198"/>
      <c r="MIT46" s="826"/>
      <c r="MIU46" s="1437"/>
      <c r="MIV46" s="1438"/>
      <c r="MIW46" s="198"/>
      <c r="MIX46" s="198"/>
      <c r="MIY46" s="198"/>
      <c r="MIZ46" s="198"/>
      <c r="MJA46" s="198"/>
      <c r="MJB46" s="198"/>
      <c r="MJC46" s="827"/>
      <c r="MJD46" s="198"/>
      <c r="MJE46" s="826"/>
      <c r="MJF46" s="1437"/>
      <c r="MJG46" s="1438"/>
      <c r="MJH46" s="198"/>
      <c r="MJI46" s="198"/>
      <c r="MJJ46" s="198"/>
      <c r="MJK46" s="198"/>
      <c r="MJL46" s="198"/>
      <c r="MJM46" s="198"/>
      <c r="MJN46" s="827"/>
      <c r="MJO46" s="198"/>
      <c r="MJP46" s="826"/>
      <c r="MJQ46" s="1437"/>
      <c r="MJR46" s="1438"/>
      <c r="MJS46" s="198"/>
      <c r="MJT46" s="198"/>
      <c r="MJU46" s="198"/>
      <c r="MJV46" s="198"/>
      <c r="MJW46" s="198"/>
      <c r="MJX46" s="198"/>
      <c r="MJY46" s="827"/>
      <c r="MJZ46" s="198"/>
      <c r="MKA46" s="826"/>
      <c r="MKB46" s="1437"/>
      <c r="MKC46" s="1438"/>
      <c r="MKD46" s="198"/>
      <c r="MKE46" s="198"/>
      <c r="MKF46" s="198"/>
      <c r="MKG46" s="198"/>
      <c r="MKH46" s="198"/>
      <c r="MKI46" s="198"/>
      <c r="MKJ46" s="827"/>
      <c r="MKK46" s="198"/>
      <c r="MKL46" s="826"/>
      <c r="MKM46" s="1437"/>
      <c r="MKN46" s="1438"/>
      <c r="MKO46" s="198"/>
      <c r="MKP46" s="198"/>
      <c r="MKQ46" s="198"/>
      <c r="MKR46" s="198"/>
      <c r="MKS46" s="198"/>
      <c r="MKT46" s="198"/>
      <c r="MKU46" s="827"/>
      <c r="MKV46" s="198"/>
      <c r="MKW46" s="826"/>
      <c r="MKX46" s="1437"/>
      <c r="MKY46" s="1438"/>
      <c r="MKZ46" s="198"/>
      <c r="MLA46" s="198"/>
      <c r="MLB46" s="198"/>
      <c r="MLC46" s="198"/>
      <c r="MLD46" s="198"/>
      <c r="MLE46" s="198"/>
      <c r="MLF46" s="827"/>
      <c r="MLG46" s="198"/>
      <c r="MLH46" s="826"/>
      <c r="MLI46" s="1437"/>
      <c r="MLJ46" s="1438"/>
      <c r="MLK46" s="198"/>
      <c r="MLL46" s="198"/>
      <c r="MLM46" s="198"/>
      <c r="MLN46" s="198"/>
      <c r="MLO46" s="198"/>
      <c r="MLP46" s="198"/>
      <c r="MLQ46" s="827"/>
      <c r="MLR46" s="198"/>
      <c r="MLS46" s="826"/>
      <c r="MLT46" s="1437"/>
      <c r="MLU46" s="1438"/>
      <c r="MLV46" s="198"/>
      <c r="MLW46" s="198"/>
      <c r="MLX46" s="198"/>
      <c r="MLY46" s="198"/>
      <c r="MLZ46" s="198"/>
      <c r="MMA46" s="198"/>
      <c r="MMB46" s="827"/>
      <c r="MMC46" s="198"/>
      <c r="MMD46" s="826"/>
      <c r="MME46" s="1437"/>
      <c r="MMF46" s="1438"/>
      <c r="MMG46" s="198"/>
      <c r="MMH46" s="198"/>
      <c r="MMI46" s="198"/>
      <c r="MMJ46" s="198"/>
      <c r="MMK46" s="198"/>
      <c r="MML46" s="198"/>
      <c r="MMM46" s="827"/>
      <c r="MMN46" s="198"/>
      <c r="MMO46" s="826"/>
      <c r="MMP46" s="1437"/>
      <c r="MMQ46" s="1438"/>
      <c r="MMR46" s="198"/>
      <c r="MMS46" s="198"/>
      <c r="MMT46" s="198"/>
      <c r="MMU46" s="198"/>
      <c r="MMV46" s="198"/>
      <c r="MMW46" s="198"/>
      <c r="MMX46" s="827"/>
      <c r="MMY46" s="198"/>
      <c r="MMZ46" s="826"/>
      <c r="MNA46" s="1437"/>
      <c r="MNB46" s="1438"/>
      <c r="MNC46" s="198"/>
      <c r="MND46" s="198"/>
      <c r="MNE46" s="198"/>
      <c r="MNF46" s="198"/>
      <c r="MNG46" s="198"/>
      <c r="MNH46" s="198"/>
      <c r="MNI46" s="827"/>
      <c r="MNJ46" s="198"/>
      <c r="MNK46" s="826"/>
      <c r="MNL46" s="1437"/>
      <c r="MNM46" s="1438"/>
      <c r="MNN46" s="198"/>
      <c r="MNO46" s="198"/>
      <c r="MNP46" s="198"/>
      <c r="MNQ46" s="198"/>
      <c r="MNR46" s="198"/>
      <c r="MNS46" s="198"/>
      <c r="MNT46" s="827"/>
      <c r="MNU46" s="198"/>
      <c r="MNV46" s="826"/>
      <c r="MNW46" s="1437"/>
      <c r="MNX46" s="1438"/>
      <c r="MNY46" s="198"/>
      <c r="MNZ46" s="198"/>
      <c r="MOA46" s="198"/>
      <c r="MOB46" s="198"/>
      <c r="MOC46" s="198"/>
      <c r="MOD46" s="198"/>
      <c r="MOE46" s="827"/>
      <c r="MOF46" s="198"/>
      <c r="MOG46" s="826"/>
      <c r="MOH46" s="1437"/>
      <c r="MOI46" s="1438"/>
      <c r="MOJ46" s="198"/>
      <c r="MOK46" s="198"/>
      <c r="MOL46" s="198"/>
      <c r="MOM46" s="198"/>
      <c r="MON46" s="198"/>
      <c r="MOO46" s="198"/>
      <c r="MOP46" s="827"/>
      <c r="MOQ46" s="198"/>
      <c r="MOR46" s="826"/>
      <c r="MOS46" s="1437"/>
      <c r="MOT46" s="1438"/>
      <c r="MOU46" s="198"/>
      <c r="MOV46" s="198"/>
      <c r="MOW46" s="198"/>
      <c r="MOX46" s="198"/>
      <c r="MOY46" s="198"/>
      <c r="MOZ46" s="198"/>
      <c r="MPA46" s="827"/>
      <c r="MPB46" s="198"/>
      <c r="MPC46" s="826"/>
      <c r="MPD46" s="1437"/>
      <c r="MPE46" s="1438"/>
      <c r="MPF46" s="198"/>
      <c r="MPG46" s="198"/>
      <c r="MPH46" s="198"/>
      <c r="MPI46" s="198"/>
      <c r="MPJ46" s="198"/>
      <c r="MPK46" s="198"/>
      <c r="MPL46" s="827"/>
      <c r="MPM46" s="198"/>
      <c r="MPN46" s="826"/>
      <c r="MPO46" s="1437"/>
      <c r="MPP46" s="1438"/>
      <c r="MPQ46" s="198"/>
      <c r="MPR46" s="198"/>
      <c r="MPS46" s="198"/>
      <c r="MPT46" s="198"/>
      <c r="MPU46" s="198"/>
      <c r="MPV46" s="198"/>
      <c r="MPW46" s="827"/>
      <c r="MPX46" s="198"/>
      <c r="MPY46" s="826"/>
      <c r="MPZ46" s="1437"/>
      <c r="MQA46" s="1438"/>
      <c r="MQB46" s="198"/>
      <c r="MQC46" s="198"/>
      <c r="MQD46" s="198"/>
      <c r="MQE46" s="198"/>
      <c r="MQF46" s="198"/>
      <c r="MQG46" s="198"/>
      <c r="MQH46" s="827"/>
      <c r="MQI46" s="198"/>
      <c r="MQJ46" s="826"/>
      <c r="MQK46" s="1437"/>
      <c r="MQL46" s="1438"/>
      <c r="MQM46" s="198"/>
      <c r="MQN46" s="198"/>
      <c r="MQO46" s="198"/>
      <c r="MQP46" s="198"/>
      <c r="MQQ46" s="198"/>
      <c r="MQR46" s="198"/>
      <c r="MQS46" s="827"/>
      <c r="MQT46" s="198"/>
      <c r="MQU46" s="826"/>
      <c r="MQV46" s="1437"/>
      <c r="MQW46" s="1438"/>
      <c r="MQX46" s="198"/>
      <c r="MQY46" s="198"/>
      <c r="MQZ46" s="198"/>
      <c r="MRA46" s="198"/>
      <c r="MRB46" s="198"/>
      <c r="MRC46" s="198"/>
      <c r="MRD46" s="827"/>
      <c r="MRE46" s="198"/>
      <c r="MRF46" s="826"/>
      <c r="MRG46" s="1437"/>
      <c r="MRH46" s="1438"/>
      <c r="MRI46" s="198"/>
      <c r="MRJ46" s="198"/>
      <c r="MRK46" s="198"/>
      <c r="MRL46" s="198"/>
      <c r="MRM46" s="198"/>
      <c r="MRN46" s="198"/>
      <c r="MRO46" s="827"/>
      <c r="MRP46" s="198"/>
      <c r="MRQ46" s="826"/>
      <c r="MRR46" s="1437"/>
      <c r="MRS46" s="1438"/>
      <c r="MRT46" s="198"/>
      <c r="MRU46" s="198"/>
      <c r="MRV46" s="198"/>
      <c r="MRW46" s="198"/>
      <c r="MRX46" s="198"/>
      <c r="MRY46" s="198"/>
      <c r="MRZ46" s="827"/>
      <c r="MSA46" s="198"/>
      <c r="MSB46" s="826"/>
      <c r="MSC46" s="1437"/>
      <c r="MSD46" s="1438"/>
      <c r="MSE46" s="198"/>
      <c r="MSF46" s="198"/>
      <c r="MSG46" s="198"/>
      <c r="MSH46" s="198"/>
      <c r="MSI46" s="198"/>
      <c r="MSJ46" s="198"/>
      <c r="MSK46" s="827"/>
      <c r="MSL46" s="198"/>
      <c r="MSM46" s="826"/>
      <c r="MSN46" s="1437"/>
      <c r="MSO46" s="1438"/>
      <c r="MSP46" s="198"/>
      <c r="MSQ46" s="198"/>
      <c r="MSR46" s="198"/>
      <c r="MSS46" s="198"/>
      <c r="MST46" s="198"/>
      <c r="MSU46" s="198"/>
      <c r="MSV46" s="827"/>
      <c r="MSW46" s="198"/>
      <c r="MSX46" s="826"/>
      <c r="MSY46" s="1437"/>
      <c r="MSZ46" s="1438"/>
      <c r="MTA46" s="198"/>
      <c r="MTB46" s="198"/>
      <c r="MTC46" s="198"/>
      <c r="MTD46" s="198"/>
      <c r="MTE46" s="198"/>
      <c r="MTF46" s="198"/>
      <c r="MTG46" s="827"/>
      <c r="MTH46" s="198"/>
      <c r="MTI46" s="826"/>
      <c r="MTJ46" s="1437"/>
      <c r="MTK46" s="1438"/>
      <c r="MTL46" s="198"/>
      <c r="MTM46" s="198"/>
      <c r="MTN46" s="198"/>
      <c r="MTO46" s="198"/>
      <c r="MTP46" s="198"/>
      <c r="MTQ46" s="198"/>
      <c r="MTR46" s="827"/>
      <c r="MTS46" s="198"/>
      <c r="MTT46" s="826"/>
      <c r="MTU46" s="1437"/>
      <c r="MTV46" s="1438"/>
      <c r="MTW46" s="198"/>
      <c r="MTX46" s="198"/>
      <c r="MTY46" s="198"/>
      <c r="MTZ46" s="198"/>
      <c r="MUA46" s="198"/>
      <c r="MUB46" s="198"/>
      <c r="MUC46" s="827"/>
      <c r="MUD46" s="198"/>
      <c r="MUE46" s="826"/>
      <c r="MUF46" s="1437"/>
      <c r="MUG46" s="1438"/>
      <c r="MUH46" s="198"/>
      <c r="MUI46" s="198"/>
      <c r="MUJ46" s="198"/>
      <c r="MUK46" s="198"/>
      <c r="MUL46" s="198"/>
      <c r="MUM46" s="198"/>
      <c r="MUN46" s="827"/>
      <c r="MUO46" s="198"/>
      <c r="MUP46" s="826"/>
      <c r="MUQ46" s="1437"/>
      <c r="MUR46" s="1438"/>
      <c r="MUS46" s="198"/>
      <c r="MUT46" s="198"/>
      <c r="MUU46" s="198"/>
      <c r="MUV46" s="198"/>
      <c r="MUW46" s="198"/>
      <c r="MUX46" s="198"/>
      <c r="MUY46" s="827"/>
      <c r="MUZ46" s="198"/>
      <c r="MVA46" s="826"/>
      <c r="MVB46" s="1437"/>
      <c r="MVC46" s="1438"/>
      <c r="MVD46" s="198"/>
      <c r="MVE46" s="198"/>
      <c r="MVF46" s="198"/>
      <c r="MVG46" s="198"/>
      <c r="MVH46" s="198"/>
      <c r="MVI46" s="198"/>
      <c r="MVJ46" s="827"/>
      <c r="MVK46" s="198"/>
      <c r="MVL46" s="826"/>
      <c r="MVM46" s="1437"/>
      <c r="MVN46" s="1438"/>
      <c r="MVO46" s="198"/>
      <c r="MVP46" s="198"/>
      <c r="MVQ46" s="198"/>
      <c r="MVR46" s="198"/>
      <c r="MVS46" s="198"/>
      <c r="MVT46" s="198"/>
      <c r="MVU46" s="827"/>
      <c r="MVV46" s="198"/>
      <c r="MVW46" s="826"/>
      <c r="MVX46" s="1437"/>
      <c r="MVY46" s="1438"/>
      <c r="MVZ46" s="198"/>
      <c r="MWA46" s="198"/>
      <c r="MWB46" s="198"/>
      <c r="MWC46" s="198"/>
      <c r="MWD46" s="198"/>
      <c r="MWE46" s="198"/>
      <c r="MWF46" s="827"/>
      <c r="MWG46" s="198"/>
      <c r="MWH46" s="826"/>
      <c r="MWI46" s="1437"/>
      <c r="MWJ46" s="1438"/>
      <c r="MWK46" s="198"/>
      <c r="MWL46" s="198"/>
      <c r="MWM46" s="198"/>
      <c r="MWN46" s="198"/>
      <c r="MWO46" s="198"/>
      <c r="MWP46" s="198"/>
      <c r="MWQ46" s="827"/>
      <c r="MWR46" s="198"/>
      <c r="MWS46" s="826"/>
      <c r="MWT46" s="1437"/>
      <c r="MWU46" s="1438"/>
      <c r="MWV46" s="198"/>
      <c r="MWW46" s="198"/>
      <c r="MWX46" s="198"/>
      <c r="MWY46" s="198"/>
      <c r="MWZ46" s="198"/>
      <c r="MXA46" s="198"/>
      <c r="MXB46" s="827"/>
      <c r="MXC46" s="198"/>
      <c r="MXD46" s="826"/>
      <c r="MXE46" s="1437"/>
      <c r="MXF46" s="1438"/>
      <c r="MXG46" s="198"/>
      <c r="MXH46" s="198"/>
      <c r="MXI46" s="198"/>
      <c r="MXJ46" s="198"/>
      <c r="MXK46" s="198"/>
      <c r="MXL46" s="198"/>
      <c r="MXM46" s="827"/>
      <c r="MXN46" s="198"/>
      <c r="MXO46" s="826"/>
      <c r="MXP46" s="1437"/>
      <c r="MXQ46" s="1438"/>
      <c r="MXR46" s="198"/>
      <c r="MXS46" s="198"/>
      <c r="MXT46" s="198"/>
      <c r="MXU46" s="198"/>
      <c r="MXV46" s="198"/>
      <c r="MXW46" s="198"/>
      <c r="MXX46" s="827"/>
      <c r="MXY46" s="198"/>
      <c r="MXZ46" s="826"/>
      <c r="MYA46" s="1437"/>
      <c r="MYB46" s="1438"/>
      <c r="MYC46" s="198"/>
      <c r="MYD46" s="198"/>
      <c r="MYE46" s="198"/>
      <c r="MYF46" s="198"/>
      <c r="MYG46" s="198"/>
      <c r="MYH46" s="198"/>
      <c r="MYI46" s="827"/>
      <c r="MYJ46" s="198"/>
      <c r="MYK46" s="826"/>
      <c r="MYL46" s="1437"/>
      <c r="MYM46" s="1438"/>
      <c r="MYN46" s="198"/>
      <c r="MYO46" s="198"/>
      <c r="MYP46" s="198"/>
      <c r="MYQ46" s="198"/>
      <c r="MYR46" s="198"/>
      <c r="MYS46" s="198"/>
      <c r="MYT46" s="827"/>
      <c r="MYU46" s="198"/>
      <c r="MYV46" s="826"/>
      <c r="MYW46" s="1437"/>
      <c r="MYX46" s="1438"/>
      <c r="MYY46" s="198"/>
      <c r="MYZ46" s="198"/>
      <c r="MZA46" s="198"/>
      <c r="MZB46" s="198"/>
      <c r="MZC46" s="198"/>
      <c r="MZD46" s="198"/>
      <c r="MZE46" s="827"/>
      <c r="MZF46" s="198"/>
      <c r="MZG46" s="826"/>
      <c r="MZH46" s="1437"/>
      <c r="MZI46" s="1438"/>
      <c r="MZJ46" s="198"/>
      <c r="MZK46" s="198"/>
      <c r="MZL46" s="198"/>
      <c r="MZM46" s="198"/>
      <c r="MZN46" s="198"/>
      <c r="MZO46" s="198"/>
      <c r="MZP46" s="827"/>
      <c r="MZQ46" s="198"/>
      <c r="MZR46" s="826"/>
      <c r="MZS46" s="1437"/>
      <c r="MZT46" s="1438"/>
      <c r="MZU46" s="198"/>
      <c r="MZV46" s="198"/>
      <c r="MZW46" s="198"/>
      <c r="MZX46" s="198"/>
      <c r="MZY46" s="198"/>
      <c r="MZZ46" s="198"/>
      <c r="NAA46" s="827"/>
      <c r="NAB46" s="198"/>
      <c r="NAC46" s="826"/>
      <c r="NAD46" s="1437"/>
      <c r="NAE46" s="1438"/>
      <c r="NAF46" s="198"/>
      <c r="NAG46" s="198"/>
      <c r="NAH46" s="198"/>
      <c r="NAI46" s="198"/>
      <c r="NAJ46" s="198"/>
      <c r="NAK46" s="198"/>
      <c r="NAL46" s="827"/>
      <c r="NAM46" s="198"/>
      <c r="NAN46" s="826"/>
      <c r="NAO46" s="1437"/>
      <c r="NAP46" s="1438"/>
      <c r="NAQ46" s="198"/>
      <c r="NAR46" s="198"/>
      <c r="NAS46" s="198"/>
      <c r="NAT46" s="198"/>
      <c r="NAU46" s="198"/>
      <c r="NAV46" s="198"/>
      <c r="NAW46" s="827"/>
      <c r="NAX46" s="198"/>
      <c r="NAY46" s="826"/>
      <c r="NAZ46" s="1437"/>
      <c r="NBA46" s="1438"/>
      <c r="NBB46" s="198"/>
      <c r="NBC46" s="198"/>
      <c r="NBD46" s="198"/>
      <c r="NBE46" s="198"/>
      <c r="NBF46" s="198"/>
      <c r="NBG46" s="198"/>
      <c r="NBH46" s="827"/>
      <c r="NBI46" s="198"/>
      <c r="NBJ46" s="826"/>
      <c r="NBK46" s="1437"/>
      <c r="NBL46" s="1438"/>
      <c r="NBM46" s="198"/>
      <c r="NBN46" s="198"/>
      <c r="NBO46" s="198"/>
      <c r="NBP46" s="198"/>
      <c r="NBQ46" s="198"/>
      <c r="NBR46" s="198"/>
      <c r="NBS46" s="827"/>
      <c r="NBT46" s="198"/>
      <c r="NBU46" s="826"/>
      <c r="NBV46" s="1437"/>
      <c r="NBW46" s="1438"/>
      <c r="NBX46" s="198"/>
      <c r="NBY46" s="198"/>
      <c r="NBZ46" s="198"/>
      <c r="NCA46" s="198"/>
      <c r="NCB46" s="198"/>
      <c r="NCC46" s="198"/>
      <c r="NCD46" s="827"/>
      <c r="NCE46" s="198"/>
      <c r="NCF46" s="826"/>
      <c r="NCG46" s="1437"/>
      <c r="NCH46" s="1438"/>
      <c r="NCI46" s="198"/>
      <c r="NCJ46" s="198"/>
      <c r="NCK46" s="198"/>
      <c r="NCL46" s="198"/>
      <c r="NCM46" s="198"/>
      <c r="NCN46" s="198"/>
      <c r="NCO46" s="827"/>
      <c r="NCP46" s="198"/>
      <c r="NCQ46" s="826"/>
      <c r="NCR46" s="1437"/>
      <c r="NCS46" s="1438"/>
      <c r="NCT46" s="198"/>
      <c r="NCU46" s="198"/>
      <c r="NCV46" s="198"/>
      <c r="NCW46" s="198"/>
      <c r="NCX46" s="198"/>
      <c r="NCY46" s="198"/>
      <c r="NCZ46" s="827"/>
      <c r="NDA46" s="198"/>
      <c r="NDB46" s="826"/>
      <c r="NDC46" s="1437"/>
      <c r="NDD46" s="1438"/>
      <c r="NDE46" s="198"/>
      <c r="NDF46" s="198"/>
      <c r="NDG46" s="198"/>
      <c r="NDH46" s="198"/>
      <c r="NDI46" s="198"/>
      <c r="NDJ46" s="198"/>
      <c r="NDK46" s="827"/>
      <c r="NDL46" s="198"/>
      <c r="NDM46" s="826"/>
      <c r="NDN46" s="1437"/>
      <c r="NDO46" s="1438"/>
      <c r="NDP46" s="198"/>
      <c r="NDQ46" s="198"/>
      <c r="NDR46" s="198"/>
      <c r="NDS46" s="198"/>
      <c r="NDT46" s="198"/>
      <c r="NDU46" s="198"/>
      <c r="NDV46" s="827"/>
      <c r="NDW46" s="198"/>
      <c r="NDX46" s="826"/>
      <c r="NDY46" s="1437"/>
      <c r="NDZ46" s="1438"/>
      <c r="NEA46" s="198"/>
      <c r="NEB46" s="198"/>
      <c r="NEC46" s="198"/>
      <c r="NED46" s="198"/>
      <c r="NEE46" s="198"/>
      <c r="NEF46" s="198"/>
      <c r="NEG46" s="827"/>
      <c r="NEH46" s="198"/>
      <c r="NEI46" s="826"/>
      <c r="NEJ46" s="1437"/>
      <c r="NEK46" s="1438"/>
      <c r="NEL46" s="198"/>
      <c r="NEM46" s="198"/>
      <c r="NEN46" s="198"/>
      <c r="NEO46" s="198"/>
      <c r="NEP46" s="198"/>
      <c r="NEQ46" s="198"/>
      <c r="NER46" s="827"/>
      <c r="NES46" s="198"/>
      <c r="NET46" s="826"/>
      <c r="NEU46" s="1437"/>
      <c r="NEV46" s="1438"/>
      <c r="NEW46" s="198"/>
      <c r="NEX46" s="198"/>
      <c r="NEY46" s="198"/>
      <c r="NEZ46" s="198"/>
      <c r="NFA46" s="198"/>
      <c r="NFB46" s="198"/>
      <c r="NFC46" s="827"/>
      <c r="NFD46" s="198"/>
      <c r="NFE46" s="826"/>
      <c r="NFF46" s="1437"/>
      <c r="NFG46" s="1438"/>
      <c r="NFH46" s="198"/>
      <c r="NFI46" s="198"/>
      <c r="NFJ46" s="198"/>
      <c r="NFK46" s="198"/>
      <c r="NFL46" s="198"/>
      <c r="NFM46" s="198"/>
      <c r="NFN46" s="827"/>
      <c r="NFO46" s="198"/>
      <c r="NFP46" s="826"/>
      <c r="NFQ46" s="1437"/>
      <c r="NFR46" s="1438"/>
      <c r="NFS46" s="198"/>
      <c r="NFT46" s="198"/>
      <c r="NFU46" s="198"/>
      <c r="NFV46" s="198"/>
      <c r="NFW46" s="198"/>
      <c r="NFX46" s="198"/>
      <c r="NFY46" s="827"/>
      <c r="NFZ46" s="198"/>
      <c r="NGA46" s="826"/>
      <c r="NGB46" s="1437"/>
      <c r="NGC46" s="1438"/>
      <c r="NGD46" s="198"/>
      <c r="NGE46" s="198"/>
      <c r="NGF46" s="198"/>
      <c r="NGG46" s="198"/>
      <c r="NGH46" s="198"/>
      <c r="NGI46" s="198"/>
      <c r="NGJ46" s="827"/>
      <c r="NGK46" s="198"/>
      <c r="NGL46" s="826"/>
      <c r="NGM46" s="1437"/>
      <c r="NGN46" s="1438"/>
      <c r="NGO46" s="198"/>
      <c r="NGP46" s="198"/>
      <c r="NGQ46" s="198"/>
      <c r="NGR46" s="198"/>
      <c r="NGS46" s="198"/>
      <c r="NGT46" s="198"/>
      <c r="NGU46" s="827"/>
      <c r="NGV46" s="198"/>
      <c r="NGW46" s="826"/>
      <c r="NGX46" s="1437"/>
      <c r="NGY46" s="1438"/>
      <c r="NGZ46" s="198"/>
      <c r="NHA46" s="198"/>
      <c r="NHB46" s="198"/>
      <c r="NHC46" s="198"/>
      <c r="NHD46" s="198"/>
      <c r="NHE46" s="198"/>
      <c r="NHF46" s="827"/>
      <c r="NHG46" s="198"/>
      <c r="NHH46" s="826"/>
      <c r="NHI46" s="1437"/>
      <c r="NHJ46" s="1438"/>
      <c r="NHK46" s="198"/>
      <c r="NHL46" s="198"/>
      <c r="NHM46" s="198"/>
      <c r="NHN46" s="198"/>
      <c r="NHO46" s="198"/>
      <c r="NHP46" s="198"/>
      <c r="NHQ46" s="827"/>
      <c r="NHR46" s="198"/>
      <c r="NHS46" s="826"/>
      <c r="NHT46" s="1437"/>
      <c r="NHU46" s="1438"/>
      <c r="NHV46" s="198"/>
      <c r="NHW46" s="198"/>
      <c r="NHX46" s="198"/>
      <c r="NHY46" s="198"/>
      <c r="NHZ46" s="198"/>
      <c r="NIA46" s="198"/>
      <c r="NIB46" s="827"/>
      <c r="NIC46" s="198"/>
      <c r="NID46" s="826"/>
      <c r="NIE46" s="1437"/>
      <c r="NIF46" s="1438"/>
      <c r="NIG46" s="198"/>
      <c r="NIH46" s="198"/>
      <c r="NII46" s="198"/>
      <c r="NIJ46" s="198"/>
      <c r="NIK46" s="198"/>
      <c r="NIL46" s="198"/>
      <c r="NIM46" s="827"/>
      <c r="NIN46" s="198"/>
      <c r="NIO46" s="826"/>
      <c r="NIP46" s="1437"/>
      <c r="NIQ46" s="1438"/>
      <c r="NIR46" s="198"/>
      <c r="NIS46" s="198"/>
      <c r="NIT46" s="198"/>
      <c r="NIU46" s="198"/>
      <c r="NIV46" s="198"/>
      <c r="NIW46" s="198"/>
      <c r="NIX46" s="827"/>
      <c r="NIY46" s="198"/>
      <c r="NIZ46" s="826"/>
      <c r="NJA46" s="1437"/>
      <c r="NJB46" s="1438"/>
      <c r="NJC46" s="198"/>
      <c r="NJD46" s="198"/>
      <c r="NJE46" s="198"/>
      <c r="NJF46" s="198"/>
      <c r="NJG46" s="198"/>
      <c r="NJH46" s="198"/>
      <c r="NJI46" s="827"/>
      <c r="NJJ46" s="198"/>
      <c r="NJK46" s="826"/>
      <c r="NJL46" s="1437"/>
      <c r="NJM46" s="1438"/>
      <c r="NJN46" s="198"/>
      <c r="NJO46" s="198"/>
      <c r="NJP46" s="198"/>
      <c r="NJQ46" s="198"/>
      <c r="NJR46" s="198"/>
      <c r="NJS46" s="198"/>
      <c r="NJT46" s="827"/>
      <c r="NJU46" s="198"/>
      <c r="NJV46" s="826"/>
      <c r="NJW46" s="1437"/>
      <c r="NJX46" s="1438"/>
      <c r="NJY46" s="198"/>
      <c r="NJZ46" s="198"/>
      <c r="NKA46" s="198"/>
      <c r="NKB46" s="198"/>
      <c r="NKC46" s="198"/>
      <c r="NKD46" s="198"/>
      <c r="NKE46" s="827"/>
      <c r="NKF46" s="198"/>
      <c r="NKG46" s="826"/>
      <c r="NKH46" s="1437"/>
      <c r="NKI46" s="1438"/>
      <c r="NKJ46" s="198"/>
      <c r="NKK46" s="198"/>
      <c r="NKL46" s="198"/>
      <c r="NKM46" s="198"/>
      <c r="NKN46" s="198"/>
      <c r="NKO46" s="198"/>
      <c r="NKP46" s="827"/>
      <c r="NKQ46" s="198"/>
      <c r="NKR46" s="826"/>
      <c r="NKS46" s="1437"/>
      <c r="NKT46" s="1438"/>
      <c r="NKU46" s="198"/>
      <c r="NKV46" s="198"/>
      <c r="NKW46" s="198"/>
      <c r="NKX46" s="198"/>
      <c r="NKY46" s="198"/>
      <c r="NKZ46" s="198"/>
      <c r="NLA46" s="827"/>
      <c r="NLB46" s="198"/>
      <c r="NLC46" s="826"/>
      <c r="NLD46" s="1437"/>
      <c r="NLE46" s="1438"/>
      <c r="NLF46" s="198"/>
      <c r="NLG46" s="198"/>
      <c r="NLH46" s="198"/>
      <c r="NLI46" s="198"/>
      <c r="NLJ46" s="198"/>
      <c r="NLK46" s="198"/>
      <c r="NLL46" s="827"/>
      <c r="NLM46" s="198"/>
      <c r="NLN46" s="826"/>
      <c r="NLO46" s="1437"/>
      <c r="NLP46" s="1438"/>
      <c r="NLQ46" s="198"/>
      <c r="NLR46" s="198"/>
      <c r="NLS46" s="198"/>
      <c r="NLT46" s="198"/>
      <c r="NLU46" s="198"/>
      <c r="NLV46" s="198"/>
      <c r="NLW46" s="827"/>
      <c r="NLX46" s="198"/>
      <c r="NLY46" s="826"/>
      <c r="NLZ46" s="1437"/>
      <c r="NMA46" s="1438"/>
      <c r="NMB46" s="198"/>
      <c r="NMC46" s="198"/>
      <c r="NMD46" s="198"/>
      <c r="NME46" s="198"/>
      <c r="NMF46" s="198"/>
      <c r="NMG46" s="198"/>
      <c r="NMH46" s="827"/>
      <c r="NMI46" s="198"/>
      <c r="NMJ46" s="826"/>
      <c r="NMK46" s="1437"/>
      <c r="NML46" s="1438"/>
      <c r="NMM46" s="198"/>
      <c r="NMN46" s="198"/>
      <c r="NMO46" s="198"/>
      <c r="NMP46" s="198"/>
      <c r="NMQ46" s="198"/>
      <c r="NMR46" s="198"/>
      <c r="NMS46" s="827"/>
      <c r="NMT46" s="198"/>
      <c r="NMU46" s="826"/>
      <c r="NMV46" s="1437"/>
      <c r="NMW46" s="1438"/>
      <c r="NMX46" s="198"/>
      <c r="NMY46" s="198"/>
      <c r="NMZ46" s="198"/>
      <c r="NNA46" s="198"/>
      <c r="NNB46" s="198"/>
      <c r="NNC46" s="198"/>
      <c r="NND46" s="827"/>
      <c r="NNE46" s="198"/>
      <c r="NNF46" s="826"/>
      <c r="NNG46" s="1437"/>
      <c r="NNH46" s="1438"/>
      <c r="NNI46" s="198"/>
      <c r="NNJ46" s="198"/>
      <c r="NNK46" s="198"/>
      <c r="NNL46" s="198"/>
      <c r="NNM46" s="198"/>
      <c r="NNN46" s="198"/>
      <c r="NNO46" s="827"/>
      <c r="NNP46" s="198"/>
      <c r="NNQ46" s="826"/>
      <c r="NNR46" s="1437"/>
      <c r="NNS46" s="1438"/>
      <c r="NNT46" s="198"/>
      <c r="NNU46" s="198"/>
      <c r="NNV46" s="198"/>
      <c r="NNW46" s="198"/>
      <c r="NNX46" s="198"/>
      <c r="NNY46" s="198"/>
      <c r="NNZ46" s="827"/>
      <c r="NOA46" s="198"/>
      <c r="NOB46" s="826"/>
      <c r="NOC46" s="1437"/>
      <c r="NOD46" s="1438"/>
      <c r="NOE46" s="198"/>
      <c r="NOF46" s="198"/>
      <c r="NOG46" s="198"/>
      <c r="NOH46" s="198"/>
      <c r="NOI46" s="198"/>
      <c r="NOJ46" s="198"/>
      <c r="NOK46" s="827"/>
      <c r="NOL46" s="198"/>
      <c r="NOM46" s="826"/>
      <c r="NON46" s="1437"/>
      <c r="NOO46" s="1438"/>
      <c r="NOP46" s="198"/>
      <c r="NOQ46" s="198"/>
      <c r="NOR46" s="198"/>
      <c r="NOS46" s="198"/>
      <c r="NOT46" s="198"/>
      <c r="NOU46" s="198"/>
      <c r="NOV46" s="827"/>
      <c r="NOW46" s="198"/>
      <c r="NOX46" s="826"/>
      <c r="NOY46" s="1437"/>
      <c r="NOZ46" s="1438"/>
      <c r="NPA46" s="198"/>
      <c r="NPB46" s="198"/>
      <c r="NPC46" s="198"/>
      <c r="NPD46" s="198"/>
      <c r="NPE46" s="198"/>
      <c r="NPF46" s="198"/>
      <c r="NPG46" s="827"/>
      <c r="NPH46" s="198"/>
      <c r="NPI46" s="826"/>
      <c r="NPJ46" s="1437"/>
      <c r="NPK46" s="1438"/>
      <c r="NPL46" s="198"/>
      <c r="NPM46" s="198"/>
      <c r="NPN46" s="198"/>
      <c r="NPO46" s="198"/>
      <c r="NPP46" s="198"/>
      <c r="NPQ46" s="198"/>
      <c r="NPR46" s="827"/>
      <c r="NPS46" s="198"/>
      <c r="NPT46" s="826"/>
      <c r="NPU46" s="1437"/>
      <c r="NPV46" s="1438"/>
      <c r="NPW46" s="198"/>
      <c r="NPX46" s="198"/>
      <c r="NPY46" s="198"/>
      <c r="NPZ46" s="198"/>
      <c r="NQA46" s="198"/>
      <c r="NQB46" s="198"/>
      <c r="NQC46" s="827"/>
      <c r="NQD46" s="198"/>
      <c r="NQE46" s="826"/>
      <c r="NQF46" s="1437"/>
      <c r="NQG46" s="1438"/>
      <c r="NQH46" s="198"/>
      <c r="NQI46" s="198"/>
      <c r="NQJ46" s="198"/>
      <c r="NQK46" s="198"/>
      <c r="NQL46" s="198"/>
      <c r="NQM46" s="198"/>
      <c r="NQN46" s="827"/>
      <c r="NQO46" s="198"/>
      <c r="NQP46" s="826"/>
      <c r="NQQ46" s="1437"/>
      <c r="NQR46" s="1438"/>
      <c r="NQS46" s="198"/>
      <c r="NQT46" s="198"/>
      <c r="NQU46" s="198"/>
      <c r="NQV46" s="198"/>
      <c r="NQW46" s="198"/>
      <c r="NQX46" s="198"/>
      <c r="NQY46" s="827"/>
      <c r="NQZ46" s="198"/>
      <c r="NRA46" s="826"/>
      <c r="NRB46" s="1437"/>
      <c r="NRC46" s="1438"/>
      <c r="NRD46" s="198"/>
      <c r="NRE46" s="198"/>
      <c r="NRF46" s="198"/>
      <c r="NRG46" s="198"/>
      <c r="NRH46" s="198"/>
      <c r="NRI46" s="198"/>
      <c r="NRJ46" s="827"/>
      <c r="NRK46" s="198"/>
      <c r="NRL46" s="826"/>
      <c r="NRM46" s="1437"/>
      <c r="NRN46" s="1438"/>
      <c r="NRO46" s="198"/>
      <c r="NRP46" s="198"/>
      <c r="NRQ46" s="198"/>
      <c r="NRR46" s="198"/>
      <c r="NRS46" s="198"/>
      <c r="NRT46" s="198"/>
      <c r="NRU46" s="827"/>
      <c r="NRV46" s="198"/>
      <c r="NRW46" s="826"/>
      <c r="NRX46" s="1437"/>
      <c r="NRY46" s="1438"/>
      <c r="NRZ46" s="198"/>
      <c r="NSA46" s="198"/>
      <c r="NSB46" s="198"/>
      <c r="NSC46" s="198"/>
      <c r="NSD46" s="198"/>
      <c r="NSE46" s="198"/>
      <c r="NSF46" s="827"/>
      <c r="NSG46" s="198"/>
      <c r="NSH46" s="826"/>
      <c r="NSI46" s="1437"/>
      <c r="NSJ46" s="1438"/>
      <c r="NSK46" s="198"/>
      <c r="NSL46" s="198"/>
      <c r="NSM46" s="198"/>
      <c r="NSN46" s="198"/>
      <c r="NSO46" s="198"/>
      <c r="NSP46" s="198"/>
      <c r="NSQ46" s="827"/>
      <c r="NSR46" s="198"/>
      <c r="NSS46" s="826"/>
      <c r="NST46" s="1437"/>
      <c r="NSU46" s="1438"/>
      <c r="NSV46" s="198"/>
      <c r="NSW46" s="198"/>
      <c r="NSX46" s="198"/>
      <c r="NSY46" s="198"/>
      <c r="NSZ46" s="198"/>
      <c r="NTA46" s="198"/>
      <c r="NTB46" s="827"/>
      <c r="NTC46" s="198"/>
      <c r="NTD46" s="826"/>
      <c r="NTE46" s="1437"/>
      <c r="NTF46" s="1438"/>
      <c r="NTG46" s="198"/>
      <c r="NTH46" s="198"/>
      <c r="NTI46" s="198"/>
      <c r="NTJ46" s="198"/>
      <c r="NTK46" s="198"/>
      <c r="NTL46" s="198"/>
      <c r="NTM46" s="827"/>
      <c r="NTN46" s="198"/>
      <c r="NTO46" s="826"/>
      <c r="NTP46" s="1437"/>
      <c r="NTQ46" s="1438"/>
      <c r="NTR46" s="198"/>
      <c r="NTS46" s="198"/>
      <c r="NTT46" s="198"/>
      <c r="NTU46" s="198"/>
      <c r="NTV46" s="198"/>
      <c r="NTW46" s="198"/>
      <c r="NTX46" s="827"/>
      <c r="NTY46" s="198"/>
      <c r="NTZ46" s="826"/>
      <c r="NUA46" s="1437"/>
      <c r="NUB46" s="1438"/>
      <c r="NUC46" s="198"/>
      <c r="NUD46" s="198"/>
      <c r="NUE46" s="198"/>
      <c r="NUF46" s="198"/>
      <c r="NUG46" s="198"/>
      <c r="NUH46" s="198"/>
      <c r="NUI46" s="827"/>
      <c r="NUJ46" s="198"/>
      <c r="NUK46" s="826"/>
      <c r="NUL46" s="1437"/>
      <c r="NUM46" s="1438"/>
      <c r="NUN46" s="198"/>
      <c r="NUO46" s="198"/>
      <c r="NUP46" s="198"/>
      <c r="NUQ46" s="198"/>
      <c r="NUR46" s="198"/>
      <c r="NUS46" s="198"/>
      <c r="NUT46" s="827"/>
      <c r="NUU46" s="198"/>
      <c r="NUV46" s="826"/>
      <c r="NUW46" s="1437"/>
      <c r="NUX46" s="1438"/>
      <c r="NUY46" s="198"/>
      <c r="NUZ46" s="198"/>
      <c r="NVA46" s="198"/>
      <c r="NVB46" s="198"/>
      <c r="NVC46" s="198"/>
      <c r="NVD46" s="198"/>
      <c r="NVE46" s="827"/>
      <c r="NVF46" s="198"/>
      <c r="NVG46" s="826"/>
      <c r="NVH46" s="1437"/>
      <c r="NVI46" s="1438"/>
      <c r="NVJ46" s="198"/>
      <c r="NVK46" s="198"/>
      <c r="NVL46" s="198"/>
      <c r="NVM46" s="198"/>
      <c r="NVN46" s="198"/>
      <c r="NVO46" s="198"/>
      <c r="NVP46" s="827"/>
      <c r="NVQ46" s="198"/>
      <c r="NVR46" s="826"/>
      <c r="NVS46" s="1437"/>
      <c r="NVT46" s="1438"/>
      <c r="NVU46" s="198"/>
      <c r="NVV46" s="198"/>
      <c r="NVW46" s="198"/>
      <c r="NVX46" s="198"/>
      <c r="NVY46" s="198"/>
      <c r="NVZ46" s="198"/>
      <c r="NWA46" s="827"/>
      <c r="NWB46" s="198"/>
      <c r="NWC46" s="826"/>
      <c r="NWD46" s="1437"/>
      <c r="NWE46" s="1438"/>
      <c r="NWF46" s="198"/>
      <c r="NWG46" s="198"/>
      <c r="NWH46" s="198"/>
      <c r="NWI46" s="198"/>
      <c r="NWJ46" s="198"/>
      <c r="NWK46" s="198"/>
      <c r="NWL46" s="827"/>
      <c r="NWM46" s="198"/>
      <c r="NWN46" s="826"/>
      <c r="NWO46" s="1437"/>
      <c r="NWP46" s="1438"/>
      <c r="NWQ46" s="198"/>
      <c r="NWR46" s="198"/>
      <c r="NWS46" s="198"/>
      <c r="NWT46" s="198"/>
      <c r="NWU46" s="198"/>
      <c r="NWV46" s="198"/>
      <c r="NWW46" s="827"/>
      <c r="NWX46" s="198"/>
      <c r="NWY46" s="826"/>
      <c r="NWZ46" s="1437"/>
      <c r="NXA46" s="1438"/>
      <c r="NXB46" s="198"/>
      <c r="NXC46" s="198"/>
      <c r="NXD46" s="198"/>
      <c r="NXE46" s="198"/>
      <c r="NXF46" s="198"/>
      <c r="NXG46" s="198"/>
      <c r="NXH46" s="827"/>
      <c r="NXI46" s="198"/>
      <c r="NXJ46" s="826"/>
      <c r="NXK46" s="1437"/>
      <c r="NXL46" s="1438"/>
      <c r="NXM46" s="198"/>
      <c r="NXN46" s="198"/>
      <c r="NXO46" s="198"/>
      <c r="NXP46" s="198"/>
      <c r="NXQ46" s="198"/>
      <c r="NXR46" s="198"/>
      <c r="NXS46" s="827"/>
      <c r="NXT46" s="198"/>
      <c r="NXU46" s="826"/>
      <c r="NXV46" s="1437"/>
      <c r="NXW46" s="1438"/>
      <c r="NXX46" s="198"/>
      <c r="NXY46" s="198"/>
      <c r="NXZ46" s="198"/>
      <c r="NYA46" s="198"/>
      <c r="NYB46" s="198"/>
      <c r="NYC46" s="198"/>
      <c r="NYD46" s="827"/>
      <c r="NYE46" s="198"/>
      <c r="NYF46" s="826"/>
      <c r="NYG46" s="1437"/>
      <c r="NYH46" s="1438"/>
      <c r="NYI46" s="198"/>
      <c r="NYJ46" s="198"/>
      <c r="NYK46" s="198"/>
      <c r="NYL46" s="198"/>
      <c r="NYM46" s="198"/>
      <c r="NYN46" s="198"/>
      <c r="NYO46" s="827"/>
      <c r="NYP46" s="198"/>
      <c r="NYQ46" s="826"/>
      <c r="NYR46" s="1437"/>
      <c r="NYS46" s="1438"/>
      <c r="NYT46" s="198"/>
      <c r="NYU46" s="198"/>
      <c r="NYV46" s="198"/>
      <c r="NYW46" s="198"/>
      <c r="NYX46" s="198"/>
      <c r="NYY46" s="198"/>
      <c r="NYZ46" s="827"/>
      <c r="NZA46" s="198"/>
      <c r="NZB46" s="826"/>
      <c r="NZC46" s="1437"/>
      <c r="NZD46" s="1438"/>
      <c r="NZE46" s="198"/>
      <c r="NZF46" s="198"/>
      <c r="NZG46" s="198"/>
      <c r="NZH46" s="198"/>
      <c r="NZI46" s="198"/>
      <c r="NZJ46" s="198"/>
      <c r="NZK46" s="827"/>
      <c r="NZL46" s="198"/>
      <c r="NZM46" s="826"/>
      <c r="NZN46" s="1437"/>
      <c r="NZO46" s="1438"/>
      <c r="NZP46" s="198"/>
      <c r="NZQ46" s="198"/>
      <c r="NZR46" s="198"/>
      <c r="NZS46" s="198"/>
      <c r="NZT46" s="198"/>
      <c r="NZU46" s="198"/>
      <c r="NZV46" s="827"/>
      <c r="NZW46" s="198"/>
      <c r="NZX46" s="826"/>
      <c r="NZY46" s="1437"/>
      <c r="NZZ46" s="1438"/>
      <c r="OAA46" s="198"/>
      <c r="OAB46" s="198"/>
      <c r="OAC46" s="198"/>
      <c r="OAD46" s="198"/>
      <c r="OAE46" s="198"/>
      <c r="OAF46" s="198"/>
      <c r="OAG46" s="827"/>
      <c r="OAH46" s="198"/>
      <c r="OAI46" s="826"/>
      <c r="OAJ46" s="1437"/>
      <c r="OAK46" s="1438"/>
      <c r="OAL46" s="198"/>
      <c r="OAM46" s="198"/>
      <c r="OAN46" s="198"/>
      <c r="OAO46" s="198"/>
      <c r="OAP46" s="198"/>
      <c r="OAQ46" s="198"/>
      <c r="OAR46" s="827"/>
      <c r="OAS46" s="198"/>
      <c r="OAT46" s="826"/>
      <c r="OAU46" s="1437"/>
      <c r="OAV46" s="1438"/>
      <c r="OAW46" s="198"/>
      <c r="OAX46" s="198"/>
      <c r="OAY46" s="198"/>
      <c r="OAZ46" s="198"/>
      <c r="OBA46" s="198"/>
      <c r="OBB46" s="198"/>
      <c r="OBC46" s="827"/>
      <c r="OBD46" s="198"/>
      <c r="OBE46" s="826"/>
      <c r="OBF46" s="1437"/>
      <c r="OBG46" s="1438"/>
      <c r="OBH46" s="198"/>
      <c r="OBI46" s="198"/>
      <c r="OBJ46" s="198"/>
      <c r="OBK46" s="198"/>
      <c r="OBL46" s="198"/>
      <c r="OBM46" s="198"/>
      <c r="OBN46" s="827"/>
      <c r="OBO46" s="198"/>
      <c r="OBP46" s="826"/>
      <c r="OBQ46" s="1437"/>
      <c r="OBR46" s="1438"/>
      <c r="OBS46" s="198"/>
      <c r="OBT46" s="198"/>
      <c r="OBU46" s="198"/>
      <c r="OBV46" s="198"/>
      <c r="OBW46" s="198"/>
      <c r="OBX46" s="198"/>
      <c r="OBY46" s="827"/>
      <c r="OBZ46" s="198"/>
      <c r="OCA46" s="826"/>
      <c r="OCB46" s="1437"/>
      <c r="OCC46" s="1438"/>
      <c r="OCD46" s="198"/>
      <c r="OCE46" s="198"/>
      <c r="OCF46" s="198"/>
      <c r="OCG46" s="198"/>
      <c r="OCH46" s="198"/>
      <c r="OCI46" s="198"/>
      <c r="OCJ46" s="827"/>
      <c r="OCK46" s="198"/>
      <c r="OCL46" s="826"/>
      <c r="OCM46" s="1437"/>
      <c r="OCN46" s="1438"/>
      <c r="OCO46" s="198"/>
      <c r="OCP46" s="198"/>
      <c r="OCQ46" s="198"/>
      <c r="OCR46" s="198"/>
      <c r="OCS46" s="198"/>
      <c r="OCT46" s="198"/>
      <c r="OCU46" s="827"/>
      <c r="OCV46" s="198"/>
      <c r="OCW46" s="826"/>
      <c r="OCX46" s="1437"/>
      <c r="OCY46" s="1438"/>
      <c r="OCZ46" s="198"/>
      <c r="ODA46" s="198"/>
      <c r="ODB46" s="198"/>
      <c r="ODC46" s="198"/>
      <c r="ODD46" s="198"/>
      <c r="ODE46" s="198"/>
      <c r="ODF46" s="827"/>
      <c r="ODG46" s="198"/>
      <c r="ODH46" s="826"/>
      <c r="ODI46" s="1437"/>
      <c r="ODJ46" s="1438"/>
      <c r="ODK46" s="198"/>
      <c r="ODL46" s="198"/>
      <c r="ODM46" s="198"/>
      <c r="ODN46" s="198"/>
      <c r="ODO46" s="198"/>
      <c r="ODP46" s="198"/>
      <c r="ODQ46" s="827"/>
      <c r="ODR46" s="198"/>
      <c r="ODS46" s="826"/>
      <c r="ODT46" s="1437"/>
      <c r="ODU46" s="1438"/>
      <c r="ODV46" s="198"/>
      <c r="ODW46" s="198"/>
      <c r="ODX46" s="198"/>
      <c r="ODY46" s="198"/>
      <c r="ODZ46" s="198"/>
      <c r="OEA46" s="198"/>
      <c r="OEB46" s="827"/>
      <c r="OEC46" s="198"/>
      <c r="OED46" s="826"/>
      <c r="OEE46" s="1437"/>
      <c r="OEF46" s="1438"/>
      <c r="OEG46" s="198"/>
      <c r="OEH46" s="198"/>
      <c r="OEI46" s="198"/>
      <c r="OEJ46" s="198"/>
      <c r="OEK46" s="198"/>
      <c r="OEL46" s="198"/>
      <c r="OEM46" s="827"/>
      <c r="OEN46" s="198"/>
      <c r="OEO46" s="826"/>
      <c r="OEP46" s="1437"/>
      <c r="OEQ46" s="1438"/>
      <c r="OER46" s="198"/>
      <c r="OES46" s="198"/>
      <c r="OET46" s="198"/>
      <c r="OEU46" s="198"/>
      <c r="OEV46" s="198"/>
      <c r="OEW46" s="198"/>
      <c r="OEX46" s="827"/>
      <c r="OEY46" s="198"/>
      <c r="OEZ46" s="826"/>
      <c r="OFA46" s="1437"/>
      <c r="OFB46" s="1438"/>
      <c r="OFC46" s="198"/>
      <c r="OFD46" s="198"/>
      <c r="OFE46" s="198"/>
      <c r="OFF46" s="198"/>
      <c r="OFG46" s="198"/>
      <c r="OFH46" s="198"/>
      <c r="OFI46" s="827"/>
      <c r="OFJ46" s="198"/>
      <c r="OFK46" s="826"/>
      <c r="OFL46" s="1437"/>
      <c r="OFM46" s="1438"/>
      <c r="OFN46" s="198"/>
      <c r="OFO46" s="198"/>
      <c r="OFP46" s="198"/>
      <c r="OFQ46" s="198"/>
      <c r="OFR46" s="198"/>
      <c r="OFS46" s="198"/>
      <c r="OFT46" s="827"/>
      <c r="OFU46" s="198"/>
      <c r="OFV46" s="826"/>
      <c r="OFW46" s="1437"/>
      <c r="OFX46" s="1438"/>
      <c r="OFY46" s="198"/>
      <c r="OFZ46" s="198"/>
      <c r="OGA46" s="198"/>
      <c r="OGB46" s="198"/>
      <c r="OGC46" s="198"/>
      <c r="OGD46" s="198"/>
      <c r="OGE46" s="827"/>
      <c r="OGF46" s="198"/>
      <c r="OGG46" s="826"/>
      <c r="OGH46" s="1437"/>
      <c r="OGI46" s="1438"/>
      <c r="OGJ46" s="198"/>
      <c r="OGK46" s="198"/>
      <c r="OGL46" s="198"/>
      <c r="OGM46" s="198"/>
      <c r="OGN46" s="198"/>
      <c r="OGO46" s="198"/>
      <c r="OGP46" s="827"/>
      <c r="OGQ46" s="198"/>
      <c r="OGR46" s="826"/>
      <c r="OGS46" s="1437"/>
      <c r="OGT46" s="1438"/>
      <c r="OGU46" s="198"/>
      <c r="OGV46" s="198"/>
      <c r="OGW46" s="198"/>
      <c r="OGX46" s="198"/>
      <c r="OGY46" s="198"/>
      <c r="OGZ46" s="198"/>
      <c r="OHA46" s="827"/>
      <c r="OHB46" s="198"/>
      <c r="OHC46" s="826"/>
      <c r="OHD46" s="1437"/>
      <c r="OHE46" s="1438"/>
      <c r="OHF46" s="198"/>
      <c r="OHG46" s="198"/>
      <c r="OHH46" s="198"/>
      <c r="OHI46" s="198"/>
      <c r="OHJ46" s="198"/>
      <c r="OHK46" s="198"/>
      <c r="OHL46" s="827"/>
      <c r="OHM46" s="198"/>
      <c r="OHN46" s="826"/>
      <c r="OHO46" s="1437"/>
      <c r="OHP46" s="1438"/>
      <c r="OHQ46" s="198"/>
      <c r="OHR46" s="198"/>
      <c r="OHS46" s="198"/>
      <c r="OHT46" s="198"/>
      <c r="OHU46" s="198"/>
      <c r="OHV46" s="198"/>
      <c r="OHW46" s="827"/>
      <c r="OHX46" s="198"/>
      <c r="OHY46" s="826"/>
      <c r="OHZ46" s="1437"/>
      <c r="OIA46" s="1438"/>
      <c r="OIB46" s="198"/>
      <c r="OIC46" s="198"/>
      <c r="OID46" s="198"/>
      <c r="OIE46" s="198"/>
      <c r="OIF46" s="198"/>
      <c r="OIG46" s="198"/>
      <c r="OIH46" s="827"/>
      <c r="OII46" s="198"/>
      <c r="OIJ46" s="826"/>
      <c r="OIK46" s="1437"/>
      <c r="OIL46" s="1438"/>
      <c r="OIM46" s="198"/>
      <c r="OIN46" s="198"/>
      <c r="OIO46" s="198"/>
      <c r="OIP46" s="198"/>
      <c r="OIQ46" s="198"/>
      <c r="OIR46" s="198"/>
      <c r="OIS46" s="827"/>
      <c r="OIT46" s="198"/>
      <c r="OIU46" s="826"/>
      <c r="OIV46" s="1437"/>
      <c r="OIW46" s="1438"/>
      <c r="OIX46" s="198"/>
      <c r="OIY46" s="198"/>
      <c r="OIZ46" s="198"/>
      <c r="OJA46" s="198"/>
      <c r="OJB46" s="198"/>
      <c r="OJC46" s="198"/>
      <c r="OJD46" s="827"/>
      <c r="OJE46" s="198"/>
      <c r="OJF46" s="826"/>
      <c r="OJG46" s="1437"/>
      <c r="OJH46" s="1438"/>
      <c r="OJI46" s="198"/>
      <c r="OJJ46" s="198"/>
      <c r="OJK46" s="198"/>
      <c r="OJL46" s="198"/>
      <c r="OJM46" s="198"/>
      <c r="OJN46" s="198"/>
      <c r="OJO46" s="827"/>
      <c r="OJP46" s="198"/>
      <c r="OJQ46" s="826"/>
      <c r="OJR46" s="1437"/>
      <c r="OJS46" s="1438"/>
      <c r="OJT46" s="198"/>
      <c r="OJU46" s="198"/>
      <c r="OJV46" s="198"/>
      <c r="OJW46" s="198"/>
      <c r="OJX46" s="198"/>
      <c r="OJY46" s="198"/>
      <c r="OJZ46" s="827"/>
      <c r="OKA46" s="198"/>
      <c r="OKB46" s="826"/>
      <c r="OKC46" s="1437"/>
      <c r="OKD46" s="1438"/>
      <c r="OKE46" s="198"/>
      <c r="OKF46" s="198"/>
      <c r="OKG46" s="198"/>
      <c r="OKH46" s="198"/>
      <c r="OKI46" s="198"/>
      <c r="OKJ46" s="198"/>
      <c r="OKK46" s="827"/>
      <c r="OKL46" s="198"/>
      <c r="OKM46" s="826"/>
      <c r="OKN46" s="1437"/>
      <c r="OKO46" s="1438"/>
      <c r="OKP46" s="198"/>
      <c r="OKQ46" s="198"/>
      <c r="OKR46" s="198"/>
      <c r="OKS46" s="198"/>
      <c r="OKT46" s="198"/>
      <c r="OKU46" s="198"/>
      <c r="OKV46" s="827"/>
      <c r="OKW46" s="198"/>
      <c r="OKX46" s="826"/>
      <c r="OKY46" s="1437"/>
      <c r="OKZ46" s="1438"/>
      <c r="OLA46" s="198"/>
      <c r="OLB46" s="198"/>
      <c r="OLC46" s="198"/>
      <c r="OLD46" s="198"/>
      <c r="OLE46" s="198"/>
      <c r="OLF46" s="198"/>
      <c r="OLG46" s="827"/>
      <c r="OLH46" s="198"/>
      <c r="OLI46" s="826"/>
      <c r="OLJ46" s="1437"/>
      <c r="OLK46" s="1438"/>
      <c r="OLL46" s="198"/>
      <c r="OLM46" s="198"/>
      <c r="OLN46" s="198"/>
      <c r="OLO46" s="198"/>
      <c r="OLP46" s="198"/>
      <c r="OLQ46" s="198"/>
      <c r="OLR46" s="827"/>
      <c r="OLS46" s="198"/>
      <c r="OLT46" s="826"/>
      <c r="OLU46" s="1437"/>
      <c r="OLV46" s="1438"/>
      <c r="OLW46" s="198"/>
      <c r="OLX46" s="198"/>
      <c r="OLY46" s="198"/>
      <c r="OLZ46" s="198"/>
      <c r="OMA46" s="198"/>
      <c r="OMB46" s="198"/>
      <c r="OMC46" s="827"/>
      <c r="OMD46" s="198"/>
      <c r="OME46" s="826"/>
      <c r="OMF46" s="1437"/>
      <c r="OMG46" s="1438"/>
      <c r="OMH46" s="198"/>
      <c r="OMI46" s="198"/>
      <c r="OMJ46" s="198"/>
      <c r="OMK46" s="198"/>
      <c r="OML46" s="198"/>
      <c r="OMM46" s="198"/>
      <c r="OMN46" s="827"/>
      <c r="OMO46" s="198"/>
      <c r="OMP46" s="826"/>
      <c r="OMQ46" s="1437"/>
      <c r="OMR46" s="1438"/>
      <c r="OMS46" s="198"/>
      <c r="OMT46" s="198"/>
      <c r="OMU46" s="198"/>
      <c r="OMV46" s="198"/>
      <c r="OMW46" s="198"/>
      <c r="OMX46" s="198"/>
      <c r="OMY46" s="827"/>
      <c r="OMZ46" s="198"/>
      <c r="ONA46" s="826"/>
      <c r="ONB46" s="1437"/>
      <c r="ONC46" s="1438"/>
      <c r="OND46" s="198"/>
      <c r="ONE46" s="198"/>
      <c r="ONF46" s="198"/>
      <c r="ONG46" s="198"/>
      <c r="ONH46" s="198"/>
      <c r="ONI46" s="198"/>
      <c r="ONJ46" s="827"/>
      <c r="ONK46" s="198"/>
      <c r="ONL46" s="826"/>
      <c r="ONM46" s="1437"/>
      <c r="ONN46" s="1438"/>
      <c r="ONO46" s="198"/>
      <c r="ONP46" s="198"/>
      <c r="ONQ46" s="198"/>
      <c r="ONR46" s="198"/>
      <c r="ONS46" s="198"/>
      <c r="ONT46" s="198"/>
      <c r="ONU46" s="827"/>
      <c r="ONV46" s="198"/>
      <c r="ONW46" s="826"/>
      <c r="ONX46" s="1437"/>
      <c r="ONY46" s="1438"/>
      <c r="ONZ46" s="198"/>
      <c r="OOA46" s="198"/>
      <c r="OOB46" s="198"/>
      <c r="OOC46" s="198"/>
      <c r="OOD46" s="198"/>
      <c r="OOE46" s="198"/>
      <c r="OOF46" s="827"/>
      <c r="OOG46" s="198"/>
      <c r="OOH46" s="826"/>
      <c r="OOI46" s="1437"/>
      <c r="OOJ46" s="1438"/>
      <c r="OOK46" s="198"/>
      <c r="OOL46" s="198"/>
      <c r="OOM46" s="198"/>
      <c r="OON46" s="198"/>
      <c r="OOO46" s="198"/>
      <c r="OOP46" s="198"/>
      <c r="OOQ46" s="827"/>
      <c r="OOR46" s="198"/>
      <c r="OOS46" s="826"/>
      <c r="OOT46" s="1437"/>
      <c r="OOU46" s="1438"/>
      <c r="OOV46" s="198"/>
      <c r="OOW46" s="198"/>
      <c r="OOX46" s="198"/>
      <c r="OOY46" s="198"/>
      <c r="OOZ46" s="198"/>
      <c r="OPA46" s="198"/>
      <c r="OPB46" s="827"/>
      <c r="OPC46" s="198"/>
      <c r="OPD46" s="826"/>
      <c r="OPE46" s="1437"/>
      <c r="OPF46" s="1438"/>
      <c r="OPG46" s="198"/>
      <c r="OPH46" s="198"/>
      <c r="OPI46" s="198"/>
      <c r="OPJ46" s="198"/>
      <c r="OPK46" s="198"/>
      <c r="OPL46" s="198"/>
      <c r="OPM46" s="827"/>
      <c r="OPN46" s="198"/>
      <c r="OPO46" s="826"/>
      <c r="OPP46" s="1437"/>
      <c r="OPQ46" s="1438"/>
      <c r="OPR46" s="198"/>
      <c r="OPS46" s="198"/>
      <c r="OPT46" s="198"/>
      <c r="OPU46" s="198"/>
      <c r="OPV46" s="198"/>
      <c r="OPW46" s="198"/>
      <c r="OPX46" s="827"/>
      <c r="OPY46" s="198"/>
      <c r="OPZ46" s="826"/>
      <c r="OQA46" s="1437"/>
      <c r="OQB46" s="1438"/>
      <c r="OQC46" s="198"/>
      <c r="OQD46" s="198"/>
      <c r="OQE46" s="198"/>
      <c r="OQF46" s="198"/>
      <c r="OQG46" s="198"/>
      <c r="OQH46" s="198"/>
      <c r="OQI46" s="827"/>
      <c r="OQJ46" s="198"/>
      <c r="OQK46" s="826"/>
      <c r="OQL46" s="1437"/>
      <c r="OQM46" s="1438"/>
      <c r="OQN46" s="198"/>
      <c r="OQO46" s="198"/>
      <c r="OQP46" s="198"/>
      <c r="OQQ46" s="198"/>
      <c r="OQR46" s="198"/>
      <c r="OQS46" s="198"/>
      <c r="OQT46" s="827"/>
      <c r="OQU46" s="198"/>
      <c r="OQV46" s="826"/>
      <c r="OQW46" s="1437"/>
      <c r="OQX46" s="1438"/>
      <c r="OQY46" s="198"/>
      <c r="OQZ46" s="198"/>
      <c r="ORA46" s="198"/>
      <c r="ORB46" s="198"/>
      <c r="ORC46" s="198"/>
      <c r="ORD46" s="198"/>
      <c r="ORE46" s="827"/>
      <c r="ORF46" s="198"/>
      <c r="ORG46" s="826"/>
      <c r="ORH46" s="1437"/>
      <c r="ORI46" s="1438"/>
      <c r="ORJ46" s="198"/>
      <c r="ORK46" s="198"/>
      <c r="ORL46" s="198"/>
      <c r="ORM46" s="198"/>
      <c r="ORN46" s="198"/>
      <c r="ORO46" s="198"/>
      <c r="ORP46" s="827"/>
      <c r="ORQ46" s="198"/>
      <c r="ORR46" s="826"/>
      <c r="ORS46" s="1437"/>
      <c r="ORT46" s="1438"/>
      <c r="ORU46" s="198"/>
      <c r="ORV46" s="198"/>
      <c r="ORW46" s="198"/>
      <c r="ORX46" s="198"/>
      <c r="ORY46" s="198"/>
      <c r="ORZ46" s="198"/>
      <c r="OSA46" s="827"/>
      <c r="OSB46" s="198"/>
      <c r="OSC46" s="826"/>
      <c r="OSD46" s="1437"/>
      <c r="OSE46" s="1438"/>
      <c r="OSF46" s="198"/>
      <c r="OSG46" s="198"/>
      <c r="OSH46" s="198"/>
      <c r="OSI46" s="198"/>
      <c r="OSJ46" s="198"/>
      <c r="OSK46" s="198"/>
      <c r="OSL46" s="827"/>
      <c r="OSM46" s="198"/>
      <c r="OSN46" s="826"/>
      <c r="OSO46" s="1437"/>
      <c r="OSP46" s="1438"/>
      <c r="OSQ46" s="198"/>
      <c r="OSR46" s="198"/>
      <c r="OSS46" s="198"/>
      <c r="OST46" s="198"/>
      <c r="OSU46" s="198"/>
      <c r="OSV46" s="198"/>
      <c r="OSW46" s="827"/>
      <c r="OSX46" s="198"/>
      <c r="OSY46" s="826"/>
      <c r="OSZ46" s="1437"/>
      <c r="OTA46" s="1438"/>
      <c r="OTB46" s="198"/>
      <c r="OTC46" s="198"/>
      <c r="OTD46" s="198"/>
      <c r="OTE46" s="198"/>
      <c r="OTF46" s="198"/>
      <c r="OTG46" s="198"/>
      <c r="OTH46" s="827"/>
      <c r="OTI46" s="198"/>
      <c r="OTJ46" s="826"/>
      <c r="OTK46" s="1437"/>
      <c r="OTL46" s="1438"/>
      <c r="OTM46" s="198"/>
      <c r="OTN46" s="198"/>
      <c r="OTO46" s="198"/>
      <c r="OTP46" s="198"/>
      <c r="OTQ46" s="198"/>
      <c r="OTR46" s="198"/>
      <c r="OTS46" s="827"/>
      <c r="OTT46" s="198"/>
      <c r="OTU46" s="826"/>
      <c r="OTV46" s="1437"/>
      <c r="OTW46" s="1438"/>
      <c r="OTX46" s="198"/>
      <c r="OTY46" s="198"/>
      <c r="OTZ46" s="198"/>
      <c r="OUA46" s="198"/>
      <c r="OUB46" s="198"/>
      <c r="OUC46" s="198"/>
      <c r="OUD46" s="827"/>
      <c r="OUE46" s="198"/>
      <c r="OUF46" s="826"/>
      <c r="OUG46" s="1437"/>
      <c r="OUH46" s="1438"/>
      <c r="OUI46" s="198"/>
      <c r="OUJ46" s="198"/>
      <c r="OUK46" s="198"/>
      <c r="OUL46" s="198"/>
      <c r="OUM46" s="198"/>
      <c r="OUN46" s="198"/>
      <c r="OUO46" s="827"/>
      <c r="OUP46" s="198"/>
      <c r="OUQ46" s="826"/>
      <c r="OUR46" s="1437"/>
      <c r="OUS46" s="1438"/>
      <c r="OUT46" s="198"/>
      <c r="OUU46" s="198"/>
      <c r="OUV46" s="198"/>
      <c r="OUW46" s="198"/>
      <c r="OUX46" s="198"/>
      <c r="OUY46" s="198"/>
      <c r="OUZ46" s="827"/>
      <c r="OVA46" s="198"/>
      <c r="OVB46" s="826"/>
      <c r="OVC46" s="1437"/>
      <c r="OVD46" s="1438"/>
      <c r="OVE46" s="198"/>
      <c r="OVF46" s="198"/>
      <c r="OVG46" s="198"/>
      <c r="OVH46" s="198"/>
      <c r="OVI46" s="198"/>
      <c r="OVJ46" s="198"/>
      <c r="OVK46" s="827"/>
      <c r="OVL46" s="198"/>
      <c r="OVM46" s="826"/>
      <c r="OVN46" s="1437"/>
      <c r="OVO46" s="1438"/>
      <c r="OVP46" s="198"/>
      <c r="OVQ46" s="198"/>
      <c r="OVR46" s="198"/>
      <c r="OVS46" s="198"/>
      <c r="OVT46" s="198"/>
      <c r="OVU46" s="198"/>
      <c r="OVV46" s="827"/>
      <c r="OVW46" s="198"/>
      <c r="OVX46" s="826"/>
      <c r="OVY46" s="1437"/>
      <c r="OVZ46" s="1438"/>
      <c r="OWA46" s="198"/>
      <c r="OWB46" s="198"/>
      <c r="OWC46" s="198"/>
      <c r="OWD46" s="198"/>
      <c r="OWE46" s="198"/>
      <c r="OWF46" s="198"/>
      <c r="OWG46" s="827"/>
      <c r="OWH46" s="198"/>
      <c r="OWI46" s="826"/>
      <c r="OWJ46" s="1437"/>
      <c r="OWK46" s="1438"/>
      <c r="OWL46" s="198"/>
      <c r="OWM46" s="198"/>
      <c r="OWN46" s="198"/>
      <c r="OWO46" s="198"/>
      <c r="OWP46" s="198"/>
      <c r="OWQ46" s="198"/>
      <c r="OWR46" s="827"/>
      <c r="OWS46" s="198"/>
      <c r="OWT46" s="826"/>
      <c r="OWU46" s="1437"/>
      <c r="OWV46" s="1438"/>
      <c r="OWW46" s="198"/>
      <c r="OWX46" s="198"/>
      <c r="OWY46" s="198"/>
      <c r="OWZ46" s="198"/>
      <c r="OXA46" s="198"/>
      <c r="OXB46" s="198"/>
      <c r="OXC46" s="827"/>
      <c r="OXD46" s="198"/>
      <c r="OXE46" s="826"/>
      <c r="OXF46" s="1437"/>
      <c r="OXG46" s="1438"/>
      <c r="OXH46" s="198"/>
      <c r="OXI46" s="198"/>
      <c r="OXJ46" s="198"/>
      <c r="OXK46" s="198"/>
      <c r="OXL46" s="198"/>
      <c r="OXM46" s="198"/>
      <c r="OXN46" s="827"/>
      <c r="OXO46" s="198"/>
      <c r="OXP46" s="826"/>
      <c r="OXQ46" s="1437"/>
      <c r="OXR46" s="1438"/>
      <c r="OXS46" s="198"/>
      <c r="OXT46" s="198"/>
      <c r="OXU46" s="198"/>
      <c r="OXV46" s="198"/>
      <c r="OXW46" s="198"/>
      <c r="OXX46" s="198"/>
      <c r="OXY46" s="827"/>
      <c r="OXZ46" s="198"/>
      <c r="OYA46" s="826"/>
      <c r="OYB46" s="1437"/>
      <c r="OYC46" s="1438"/>
      <c r="OYD46" s="198"/>
      <c r="OYE46" s="198"/>
      <c r="OYF46" s="198"/>
      <c r="OYG46" s="198"/>
      <c r="OYH46" s="198"/>
      <c r="OYI46" s="198"/>
      <c r="OYJ46" s="827"/>
      <c r="OYK46" s="198"/>
      <c r="OYL46" s="826"/>
      <c r="OYM46" s="1437"/>
      <c r="OYN46" s="1438"/>
      <c r="OYO46" s="198"/>
      <c r="OYP46" s="198"/>
      <c r="OYQ46" s="198"/>
      <c r="OYR46" s="198"/>
      <c r="OYS46" s="198"/>
      <c r="OYT46" s="198"/>
      <c r="OYU46" s="827"/>
      <c r="OYV46" s="198"/>
      <c r="OYW46" s="826"/>
      <c r="OYX46" s="1437"/>
      <c r="OYY46" s="1438"/>
      <c r="OYZ46" s="198"/>
      <c r="OZA46" s="198"/>
      <c r="OZB46" s="198"/>
      <c r="OZC46" s="198"/>
      <c r="OZD46" s="198"/>
      <c r="OZE46" s="198"/>
      <c r="OZF46" s="827"/>
      <c r="OZG46" s="198"/>
      <c r="OZH46" s="826"/>
      <c r="OZI46" s="1437"/>
      <c r="OZJ46" s="1438"/>
      <c r="OZK46" s="198"/>
      <c r="OZL46" s="198"/>
      <c r="OZM46" s="198"/>
      <c r="OZN46" s="198"/>
      <c r="OZO46" s="198"/>
      <c r="OZP46" s="198"/>
      <c r="OZQ46" s="827"/>
      <c r="OZR46" s="198"/>
      <c r="OZS46" s="826"/>
      <c r="OZT46" s="1437"/>
      <c r="OZU46" s="1438"/>
      <c r="OZV46" s="198"/>
      <c r="OZW46" s="198"/>
      <c r="OZX46" s="198"/>
      <c r="OZY46" s="198"/>
      <c r="OZZ46" s="198"/>
      <c r="PAA46" s="198"/>
      <c r="PAB46" s="827"/>
      <c r="PAC46" s="198"/>
      <c r="PAD46" s="826"/>
      <c r="PAE46" s="1437"/>
      <c r="PAF46" s="1438"/>
      <c r="PAG46" s="198"/>
      <c r="PAH46" s="198"/>
      <c r="PAI46" s="198"/>
      <c r="PAJ46" s="198"/>
      <c r="PAK46" s="198"/>
      <c r="PAL46" s="198"/>
      <c r="PAM46" s="827"/>
      <c r="PAN46" s="198"/>
      <c r="PAO46" s="826"/>
      <c r="PAP46" s="1437"/>
      <c r="PAQ46" s="1438"/>
      <c r="PAR46" s="198"/>
      <c r="PAS46" s="198"/>
      <c r="PAT46" s="198"/>
      <c r="PAU46" s="198"/>
      <c r="PAV46" s="198"/>
      <c r="PAW46" s="198"/>
      <c r="PAX46" s="827"/>
      <c r="PAY46" s="198"/>
      <c r="PAZ46" s="826"/>
      <c r="PBA46" s="1437"/>
      <c r="PBB46" s="1438"/>
      <c r="PBC46" s="198"/>
      <c r="PBD46" s="198"/>
      <c r="PBE46" s="198"/>
      <c r="PBF46" s="198"/>
      <c r="PBG46" s="198"/>
      <c r="PBH46" s="198"/>
      <c r="PBI46" s="827"/>
      <c r="PBJ46" s="198"/>
      <c r="PBK46" s="826"/>
      <c r="PBL46" s="1437"/>
      <c r="PBM46" s="1438"/>
      <c r="PBN46" s="198"/>
      <c r="PBO46" s="198"/>
      <c r="PBP46" s="198"/>
      <c r="PBQ46" s="198"/>
      <c r="PBR46" s="198"/>
      <c r="PBS46" s="198"/>
      <c r="PBT46" s="827"/>
      <c r="PBU46" s="198"/>
      <c r="PBV46" s="826"/>
      <c r="PBW46" s="1437"/>
      <c r="PBX46" s="1438"/>
      <c r="PBY46" s="198"/>
      <c r="PBZ46" s="198"/>
      <c r="PCA46" s="198"/>
      <c r="PCB46" s="198"/>
      <c r="PCC46" s="198"/>
      <c r="PCD46" s="198"/>
      <c r="PCE46" s="827"/>
      <c r="PCF46" s="198"/>
      <c r="PCG46" s="826"/>
      <c r="PCH46" s="1437"/>
      <c r="PCI46" s="1438"/>
      <c r="PCJ46" s="198"/>
      <c r="PCK46" s="198"/>
      <c r="PCL46" s="198"/>
      <c r="PCM46" s="198"/>
      <c r="PCN46" s="198"/>
      <c r="PCO46" s="198"/>
      <c r="PCP46" s="827"/>
      <c r="PCQ46" s="198"/>
      <c r="PCR46" s="826"/>
      <c r="PCS46" s="1437"/>
      <c r="PCT46" s="1438"/>
      <c r="PCU46" s="198"/>
      <c r="PCV46" s="198"/>
      <c r="PCW46" s="198"/>
      <c r="PCX46" s="198"/>
      <c r="PCY46" s="198"/>
      <c r="PCZ46" s="198"/>
      <c r="PDA46" s="827"/>
      <c r="PDB46" s="198"/>
      <c r="PDC46" s="826"/>
      <c r="PDD46" s="1437"/>
      <c r="PDE46" s="1438"/>
      <c r="PDF46" s="198"/>
      <c r="PDG46" s="198"/>
      <c r="PDH46" s="198"/>
      <c r="PDI46" s="198"/>
      <c r="PDJ46" s="198"/>
      <c r="PDK46" s="198"/>
      <c r="PDL46" s="827"/>
      <c r="PDM46" s="198"/>
      <c r="PDN46" s="826"/>
      <c r="PDO46" s="1437"/>
      <c r="PDP46" s="1438"/>
      <c r="PDQ46" s="198"/>
      <c r="PDR46" s="198"/>
      <c r="PDS46" s="198"/>
      <c r="PDT46" s="198"/>
      <c r="PDU46" s="198"/>
      <c r="PDV46" s="198"/>
      <c r="PDW46" s="827"/>
      <c r="PDX46" s="198"/>
      <c r="PDY46" s="826"/>
      <c r="PDZ46" s="1437"/>
      <c r="PEA46" s="1438"/>
      <c r="PEB46" s="198"/>
      <c r="PEC46" s="198"/>
      <c r="PED46" s="198"/>
      <c r="PEE46" s="198"/>
      <c r="PEF46" s="198"/>
      <c r="PEG46" s="198"/>
      <c r="PEH46" s="827"/>
      <c r="PEI46" s="198"/>
      <c r="PEJ46" s="826"/>
      <c r="PEK46" s="1437"/>
      <c r="PEL46" s="1438"/>
      <c r="PEM46" s="198"/>
      <c r="PEN46" s="198"/>
      <c r="PEO46" s="198"/>
      <c r="PEP46" s="198"/>
      <c r="PEQ46" s="198"/>
      <c r="PER46" s="198"/>
      <c r="PES46" s="827"/>
      <c r="PET46" s="198"/>
      <c r="PEU46" s="826"/>
      <c r="PEV46" s="1437"/>
      <c r="PEW46" s="1438"/>
      <c r="PEX46" s="198"/>
      <c r="PEY46" s="198"/>
      <c r="PEZ46" s="198"/>
      <c r="PFA46" s="198"/>
      <c r="PFB46" s="198"/>
      <c r="PFC46" s="198"/>
      <c r="PFD46" s="827"/>
      <c r="PFE46" s="198"/>
      <c r="PFF46" s="826"/>
      <c r="PFG46" s="1437"/>
      <c r="PFH46" s="1438"/>
      <c r="PFI46" s="198"/>
      <c r="PFJ46" s="198"/>
      <c r="PFK46" s="198"/>
      <c r="PFL46" s="198"/>
      <c r="PFM46" s="198"/>
      <c r="PFN46" s="198"/>
      <c r="PFO46" s="827"/>
      <c r="PFP46" s="198"/>
      <c r="PFQ46" s="826"/>
      <c r="PFR46" s="1437"/>
      <c r="PFS46" s="1438"/>
      <c r="PFT46" s="198"/>
      <c r="PFU46" s="198"/>
      <c r="PFV46" s="198"/>
      <c r="PFW46" s="198"/>
      <c r="PFX46" s="198"/>
      <c r="PFY46" s="198"/>
      <c r="PFZ46" s="827"/>
      <c r="PGA46" s="198"/>
      <c r="PGB46" s="826"/>
      <c r="PGC46" s="1437"/>
      <c r="PGD46" s="1438"/>
      <c r="PGE46" s="198"/>
      <c r="PGF46" s="198"/>
      <c r="PGG46" s="198"/>
      <c r="PGH46" s="198"/>
      <c r="PGI46" s="198"/>
      <c r="PGJ46" s="198"/>
      <c r="PGK46" s="827"/>
      <c r="PGL46" s="198"/>
      <c r="PGM46" s="826"/>
      <c r="PGN46" s="1437"/>
      <c r="PGO46" s="1438"/>
      <c r="PGP46" s="198"/>
      <c r="PGQ46" s="198"/>
      <c r="PGR46" s="198"/>
      <c r="PGS46" s="198"/>
      <c r="PGT46" s="198"/>
      <c r="PGU46" s="198"/>
      <c r="PGV46" s="827"/>
      <c r="PGW46" s="198"/>
      <c r="PGX46" s="826"/>
      <c r="PGY46" s="1437"/>
      <c r="PGZ46" s="1438"/>
      <c r="PHA46" s="198"/>
      <c r="PHB46" s="198"/>
      <c r="PHC46" s="198"/>
      <c r="PHD46" s="198"/>
      <c r="PHE46" s="198"/>
      <c r="PHF46" s="198"/>
      <c r="PHG46" s="827"/>
      <c r="PHH46" s="198"/>
      <c r="PHI46" s="826"/>
      <c r="PHJ46" s="1437"/>
      <c r="PHK46" s="1438"/>
      <c r="PHL46" s="198"/>
      <c r="PHM46" s="198"/>
      <c r="PHN46" s="198"/>
      <c r="PHO46" s="198"/>
      <c r="PHP46" s="198"/>
      <c r="PHQ46" s="198"/>
      <c r="PHR46" s="827"/>
      <c r="PHS46" s="198"/>
      <c r="PHT46" s="826"/>
      <c r="PHU46" s="1437"/>
      <c r="PHV46" s="1438"/>
      <c r="PHW46" s="198"/>
      <c r="PHX46" s="198"/>
      <c r="PHY46" s="198"/>
      <c r="PHZ46" s="198"/>
      <c r="PIA46" s="198"/>
      <c r="PIB46" s="198"/>
      <c r="PIC46" s="827"/>
      <c r="PID46" s="198"/>
      <c r="PIE46" s="826"/>
      <c r="PIF46" s="1437"/>
      <c r="PIG46" s="1438"/>
      <c r="PIH46" s="198"/>
      <c r="PII46" s="198"/>
      <c r="PIJ46" s="198"/>
      <c r="PIK46" s="198"/>
      <c r="PIL46" s="198"/>
      <c r="PIM46" s="198"/>
      <c r="PIN46" s="827"/>
      <c r="PIO46" s="198"/>
      <c r="PIP46" s="826"/>
      <c r="PIQ46" s="1437"/>
      <c r="PIR46" s="1438"/>
      <c r="PIS46" s="198"/>
      <c r="PIT46" s="198"/>
      <c r="PIU46" s="198"/>
      <c r="PIV46" s="198"/>
      <c r="PIW46" s="198"/>
      <c r="PIX46" s="198"/>
      <c r="PIY46" s="827"/>
      <c r="PIZ46" s="198"/>
      <c r="PJA46" s="826"/>
      <c r="PJB46" s="1437"/>
      <c r="PJC46" s="1438"/>
      <c r="PJD46" s="198"/>
      <c r="PJE46" s="198"/>
      <c r="PJF46" s="198"/>
      <c r="PJG46" s="198"/>
      <c r="PJH46" s="198"/>
      <c r="PJI46" s="198"/>
      <c r="PJJ46" s="827"/>
      <c r="PJK46" s="198"/>
      <c r="PJL46" s="826"/>
      <c r="PJM46" s="1437"/>
      <c r="PJN46" s="1438"/>
      <c r="PJO46" s="198"/>
      <c r="PJP46" s="198"/>
      <c r="PJQ46" s="198"/>
      <c r="PJR46" s="198"/>
      <c r="PJS46" s="198"/>
      <c r="PJT46" s="198"/>
      <c r="PJU46" s="827"/>
      <c r="PJV46" s="198"/>
      <c r="PJW46" s="826"/>
      <c r="PJX46" s="1437"/>
      <c r="PJY46" s="1438"/>
      <c r="PJZ46" s="198"/>
      <c r="PKA46" s="198"/>
      <c r="PKB46" s="198"/>
      <c r="PKC46" s="198"/>
      <c r="PKD46" s="198"/>
      <c r="PKE46" s="198"/>
      <c r="PKF46" s="827"/>
      <c r="PKG46" s="198"/>
      <c r="PKH46" s="826"/>
      <c r="PKI46" s="1437"/>
      <c r="PKJ46" s="1438"/>
      <c r="PKK46" s="198"/>
      <c r="PKL46" s="198"/>
      <c r="PKM46" s="198"/>
      <c r="PKN46" s="198"/>
      <c r="PKO46" s="198"/>
      <c r="PKP46" s="198"/>
      <c r="PKQ46" s="827"/>
      <c r="PKR46" s="198"/>
      <c r="PKS46" s="826"/>
      <c r="PKT46" s="1437"/>
      <c r="PKU46" s="1438"/>
      <c r="PKV46" s="198"/>
      <c r="PKW46" s="198"/>
      <c r="PKX46" s="198"/>
      <c r="PKY46" s="198"/>
      <c r="PKZ46" s="198"/>
      <c r="PLA46" s="198"/>
      <c r="PLB46" s="827"/>
      <c r="PLC46" s="198"/>
      <c r="PLD46" s="826"/>
      <c r="PLE46" s="1437"/>
      <c r="PLF46" s="1438"/>
      <c r="PLG46" s="198"/>
      <c r="PLH46" s="198"/>
      <c r="PLI46" s="198"/>
      <c r="PLJ46" s="198"/>
      <c r="PLK46" s="198"/>
      <c r="PLL46" s="198"/>
      <c r="PLM46" s="827"/>
      <c r="PLN46" s="198"/>
      <c r="PLO46" s="826"/>
      <c r="PLP46" s="1437"/>
      <c r="PLQ46" s="1438"/>
      <c r="PLR46" s="198"/>
      <c r="PLS46" s="198"/>
      <c r="PLT46" s="198"/>
      <c r="PLU46" s="198"/>
      <c r="PLV46" s="198"/>
      <c r="PLW46" s="198"/>
      <c r="PLX46" s="827"/>
      <c r="PLY46" s="198"/>
      <c r="PLZ46" s="826"/>
      <c r="PMA46" s="1437"/>
      <c r="PMB46" s="1438"/>
      <c r="PMC46" s="198"/>
      <c r="PMD46" s="198"/>
      <c r="PME46" s="198"/>
      <c r="PMF46" s="198"/>
      <c r="PMG46" s="198"/>
      <c r="PMH46" s="198"/>
      <c r="PMI46" s="827"/>
      <c r="PMJ46" s="198"/>
      <c r="PMK46" s="826"/>
      <c r="PML46" s="1437"/>
      <c r="PMM46" s="1438"/>
      <c r="PMN46" s="198"/>
      <c r="PMO46" s="198"/>
      <c r="PMP46" s="198"/>
      <c r="PMQ46" s="198"/>
      <c r="PMR46" s="198"/>
      <c r="PMS46" s="198"/>
      <c r="PMT46" s="827"/>
      <c r="PMU46" s="198"/>
      <c r="PMV46" s="826"/>
      <c r="PMW46" s="1437"/>
      <c r="PMX46" s="1438"/>
      <c r="PMY46" s="198"/>
      <c r="PMZ46" s="198"/>
      <c r="PNA46" s="198"/>
      <c r="PNB46" s="198"/>
      <c r="PNC46" s="198"/>
      <c r="PND46" s="198"/>
      <c r="PNE46" s="827"/>
      <c r="PNF46" s="198"/>
      <c r="PNG46" s="826"/>
      <c r="PNH46" s="1437"/>
      <c r="PNI46" s="1438"/>
      <c r="PNJ46" s="198"/>
      <c r="PNK46" s="198"/>
      <c r="PNL46" s="198"/>
      <c r="PNM46" s="198"/>
      <c r="PNN46" s="198"/>
      <c r="PNO46" s="198"/>
      <c r="PNP46" s="827"/>
      <c r="PNQ46" s="198"/>
      <c r="PNR46" s="826"/>
      <c r="PNS46" s="1437"/>
      <c r="PNT46" s="1438"/>
      <c r="PNU46" s="198"/>
      <c r="PNV46" s="198"/>
      <c r="PNW46" s="198"/>
      <c r="PNX46" s="198"/>
      <c r="PNY46" s="198"/>
      <c r="PNZ46" s="198"/>
      <c r="POA46" s="827"/>
      <c r="POB46" s="198"/>
      <c r="POC46" s="826"/>
      <c r="POD46" s="1437"/>
      <c r="POE46" s="1438"/>
      <c r="POF46" s="198"/>
      <c r="POG46" s="198"/>
      <c r="POH46" s="198"/>
      <c r="POI46" s="198"/>
      <c r="POJ46" s="198"/>
      <c r="POK46" s="198"/>
      <c r="POL46" s="827"/>
      <c r="POM46" s="198"/>
      <c r="PON46" s="826"/>
      <c r="POO46" s="1437"/>
      <c r="POP46" s="1438"/>
      <c r="POQ46" s="198"/>
      <c r="POR46" s="198"/>
      <c r="POS46" s="198"/>
      <c r="POT46" s="198"/>
      <c r="POU46" s="198"/>
      <c r="POV46" s="198"/>
      <c r="POW46" s="827"/>
      <c r="POX46" s="198"/>
      <c r="POY46" s="826"/>
      <c r="POZ46" s="1437"/>
      <c r="PPA46" s="1438"/>
      <c r="PPB46" s="198"/>
      <c r="PPC46" s="198"/>
      <c r="PPD46" s="198"/>
      <c r="PPE46" s="198"/>
      <c r="PPF46" s="198"/>
      <c r="PPG46" s="198"/>
      <c r="PPH46" s="827"/>
      <c r="PPI46" s="198"/>
      <c r="PPJ46" s="826"/>
      <c r="PPK46" s="1437"/>
      <c r="PPL46" s="1438"/>
      <c r="PPM46" s="198"/>
      <c r="PPN46" s="198"/>
      <c r="PPO46" s="198"/>
      <c r="PPP46" s="198"/>
      <c r="PPQ46" s="198"/>
      <c r="PPR46" s="198"/>
      <c r="PPS46" s="827"/>
      <c r="PPT46" s="198"/>
      <c r="PPU46" s="826"/>
      <c r="PPV46" s="1437"/>
      <c r="PPW46" s="1438"/>
      <c r="PPX46" s="198"/>
      <c r="PPY46" s="198"/>
      <c r="PPZ46" s="198"/>
      <c r="PQA46" s="198"/>
      <c r="PQB46" s="198"/>
      <c r="PQC46" s="198"/>
      <c r="PQD46" s="827"/>
      <c r="PQE46" s="198"/>
      <c r="PQF46" s="826"/>
      <c r="PQG46" s="1437"/>
      <c r="PQH46" s="1438"/>
      <c r="PQI46" s="198"/>
      <c r="PQJ46" s="198"/>
      <c r="PQK46" s="198"/>
      <c r="PQL46" s="198"/>
      <c r="PQM46" s="198"/>
      <c r="PQN46" s="198"/>
      <c r="PQO46" s="827"/>
      <c r="PQP46" s="198"/>
      <c r="PQQ46" s="826"/>
      <c r="PQR46" s="1437"/>
      <c r="PQS46" s="1438"/>
      <c r="PQT46" s="198"/>
      <c r="PQU46" s="198"/>
      <c r="PQV46" s="198"/>
      <c r="PQW46" s="198"/>
      <c r="PQX46" s="198"/>
      <c r="PQY46" s="198"/>
      <c r="PQZ46" s="827"/>
      <c r="PRA46" s="198"/>
      <c r="PRB46" s="826"/>
      <c r="PRC46" s="1437"/>
      <c r="PRD46" s="1438"/>
      <c r="PRE46" s="198"/>
      <c r="PRF46" s="198"/>
      <c r="PRG46" s="198"/>
      <c r="PRH46" s="198"/>
      <c r="PRI46" s="198"/>
      <c r="PRJ46" s="198"/>
      <c r="PRK46" s="827"/>
      <c r="PRL46" s="198"/>
      <c r="PRM46" s="826"/>
      <c r="PRN46" s="1437"/>
      <c r="PRO46" s="1438"/>
      <c r="PRP46" s="198"/>
      <c r="PRQ46" s="198"/>
      <c r="PRR46" s="198"/>
      <c r="PRS46" s="198"/>
      <c r="PRT46" s="198"/>
      <c r="PRU46" s="198"/>
      <c r="PRV46" s="827"/>
      <c r="PRW46" s="198"/>
      <c r="PRX46" s="826"/>
      <c r="PRY46" s="1437"/>
      <c r="PRZ46" s="1438"/>
      <c r="PSA46" s="198"/>
      <c r="PSB46" s="198"/>
      <c r="PSC46" s="198"/>
      <c r="PSD46" s="198"/>
      <c r="PSE46" s="198"/>
      <c r="PSF46" s="198"/>
      <c r="PSG46" s="827"/>
      <c r="PSH46" s="198"/>
      <c r="PSI46" s="826"/>
      <c r="PSJ46" s="1437"/>
      <c r="PSK46" s="1438"/>
      <c r="PSL46" s="198"/>
      <c r="PSM46" s="198"/>
      <c r="PSN46" s="198"/>
      <c r="PSO46" s="198"/>
      <c r="PSP46" s="198"/>
      <c r="PSQ46" s="198"/>
      <c r="PSR46" s="827"/>
      <c r="PSS46" s="198"/>
      <c r="PST46" s="826"/>
      <c r="PSU46" s="1437"/>
      <c r="PSV46" s="1438"/>
      <c r="PSW46" s="198"/>
      <c r="PSX46" s="198"/>
      <c r="PSY46" s="198"/>
      <c r="PSZ46" s="198"/>
      <c r="PTA46" s="198"/>
      <c r="PTB46" s="198"/>
      <c r="PTC46" s="827"/>
      <c r="PTD46" s="198"/>
      <c r="PTE46" s="826"/>
      <c r="PTF46" s="1437"/>
      <c r="PTG46" s="1438"/>
      <c r="PTH46" s="198"/>
      <c r="PTI46" s="198"/>
      <c r="PTJ46" s="198"/>
      <c r="PTK46" s="198"/>
      <c r="PTL46" s="198"/>
      <c r="PTM46" s="198"/>
      <c r="PTN46" s="827"/>
      <c r="PTO46" s="198"/>
      <c r="PTP46" s="826"/>
      <c r="PTQ46" s="1437"/>
      <c r="PTR46" s="1438"/>
      <c r="PTS46" s="198"/>
      <c r="PTT46" s="198"/>
      <c r="PTU46" s="198"/>
      <c r="PTV46" s="198"/>
      <c r="PTW46" s="198"/>
      <c r="PTX46" s="198"/>
      <c r="PTY46" s="827"/>
      <c r="PTZ46" s="198"/>
      <c r="PUA46" s="826"/>
      <c r="PUB46" s="1437"/>
      <c r="PUC46" s="1438"/>
      <c r="PUD46" s="198"/>
      <c r="PUE46" s="198"/>
      <c r="PUF46" s="198"/>
      <c r="PUG46" s="198"/>
      <c r="PUH46" s="198"/>
      <c r="PUI46" s="198"/>
      <c r="PUJ46" s="827"/>
      <c r="PUK46" s="198"/>
      <c r="PUL46" s="826"/>
      <c r="PUM46" s="1437"/>
      <c r="PUN46" s="1438"/>
      <c r="PUO46" s="198"/>
      <c r="PUP46" s="198"/>
      <c r="PUQ46" s="198"/>
      <c r="PUR46" s="198"/>
      <c r="PUS46" s="198"/>
      <c r="PUT46" s="198"/>
      <c r="PUU46" s="827"/>
      <c r="PUV46" s="198"/>
      <c r="PUW46" s="826"/>
      <c r="PUX46" s="1437"/>
      <c r="PUY46" s="1438"/>
      <c r="PUZ46" s="198"/>
      <c r="PVA46" s="198"/>
      <c r="PVB46" s="198"/>
      <c r="PVC46" s="198"/>
      <c r="PVD46" s="198"/>
      <c r="PVE46" s="198"/>
      <c r="PVF46" s="827"/>
      <c r="PVG46" s="198"/>
      <c r="PVH46" s="826"/>
      <c r="PVI46" s="1437"/>
      <c r="PVJ46" s="1438"/>
      <c r="PVK46" s="198"/>
      <c r="PVL46" s="198"/>
      <c r="PVM46" s="198"/>
      <c r="PVN46" s="198"/>
      <c r="PVO46" s="198"/>
      <c r="PVP46" s="198"/>
      <c r="PVQ46" s="827"/>
      <c r="PVR46" s="198"/>
      <c r="PVS46" s="826"/>
      <c r="PVT46" s="1437"/>
      <c r="PVU46" s="1438"/>
      <c r="PVV46" s="198"/>
      <c r="PVW46" s="198"/>
      <c r="PVX46" s="198"/>
      <c r="PVY46" s="198"/>
      <c r="PVZ46" s="198"/>
      <c r="PWA46" s="198"/>
      <c r="PWB46" s="827"/>
      <c r="PWC46" s="198"/>
      <c r="PWD46" s="826"/>
      <c r="PWE46" s="1437"/>
      <c r="PWF46" s="1438"/>
      <c r="PWG46" s="198"/>
      <c r="PWH46" s="198"/>
      <c r="PWI46" s="198"/>
      <c r="PWJ46" s="198"/>
      <c r="PWK46" s="198"/>
      <c r="PWL46" s="198"/>
      <c r="PWM46" s="827"/>
      <c r="PWN46" s="198"/>
      <c r="PWO46" s="826"/>
      <c r="PWP46" s="1437"/>
      <c r="PWQ46" s="1438"/>
      <c r="PWR46" s="198"/>
      <c r="PWS46" s="198"/>
      <c r="PWT46" s="198"/>
      <c r="PWU46" s="198"/>
      <c r="PWV46" s="198"/>
      <c r="PWW46" s="198"/>
      <c r="PWX46" s="827"/>
      <c r="PWY46" s="198"/>
      <c r="PWZ46" s="826"/>
      <c r="PXA46" s="1437"/>
      <c r="PXB46" s="1438"/>
      <c r="PXC46" s="198"/>
      <c r="PXD46" s="198"/>
      <c r="PXE46" s="198"/>
      <c r="PXF46" s="198"/>
      <c r="PXG46" s="198"/>
      <c r="PXH46" s="198"/>
      <c r="PXI46" s="827"/>
      <c r="PXJ46" s="198"/>
      <c r="PXK46" s="826"/>
      <c r="PXL46" s="1437"/>
      <c r="PXM46" s="1438"/>
      <c r="PXN46" s="198"/>
      <c r="PXO46" s="198"/>
      <c r="PXP46" s="198"/>
      <c r="PXQ46" s="198"/>
      <c r="PXR46" s="198"/>
      <c r="PXS46" s="198"/>
      <c r="PXT46" s="827"/>
      <c r="PXU46" s="198"/>
      <c r="PXV46" s="826"/>
      <c r="PXW46" s="1437"/>
      <c r="PXX46" s="1438"/>
      <c r="PXY46" s="198"/>
      <c r="PXZ46" s="198"/>
      <c r="PYA46" s="198"/>
      <c r="PYB46" s="198"/>
      <c r="PYC46" s="198"/>
      <c r="PYD46" s="198"/>
      <c r="PYE46" s="827"/>
      <c r="PYF46" s="198"/>
      <c r="PYG46" s="826"/>
      <c r="PYH46" s="1437"/>
      <c r="PYI46" s="1438"/>
      <c r="PYJ46" s="198"/>
      <c r="PYK46" s="198"/>
      <c r="PYL46" s="198"/>
      <c r="PYM46" s="198"/>
      <c r="PYN46" s="198"/>
      <c r="PYO46" s="198"/>
      <c r="PYP46" s="827"/>
      <c r="PYQ46" s="198"/>
      <c r="PYR46" s="826"/>
      <c r="PYS46" s="1437"/>
      <c r="PYT46" s="1438"/>
      <c r="PYU46" s="198"/>
      <c r="PYV46" s="198"/>
      <c r="PYW46" s="198"/>
      <c r="PYX46" s="198"/>
      <c r="PYY46" s="198"/>
      <c r="PYZ46" s="198"/>
      <c r="PZA46" s="827"/>
      <c r="PZB46" s="198"/>
      <c r="PZC46" s="826"/>
      <c r="PZD46" s="1437"/>
      <c r="PZE46" s="1438"/>
      <c r="PZF46" s="198"/>
      <c r="PZG46" s="198"/>
      <c r="PZH46" s="198"/>
      <c r="PZI46" s="198"/>
      <c r="PZJ46" s="198"/>
      <c r="PZK46" s="198"/>
      <c r="PZL46" s="827"/>
      <c r="PZM46" s="198"/>
      <c r="PZN46" s="826"/>
      <c r="PZO46" s="1437"/>
      <c r="PZP46" s="1438"/>
      <c r="PZQ46" s="198"/>
      <c r="PZR46" s="198"/>
      <c r="PZS46" s="198"/>
      <c r="PZT46" s="198"/>
      <c r="PZU46" s="198"/>
      <c r="PZV46" s="198"/>
      <c r="PZW46" s="827"/>
      <c r="PZX46" s="198"/>
      <c r="PZY46" s="826"/>
      <c r="PZZ46" s="1437"/>
      <c r="QAA46" s="1438"/>
      <c r="QAB46" s="198"/>
      <c r="QAC46" s="198"/>
      <c r="QAD46" s="198"/>
      <c r="QAE46" s="198"/>
      <c r="QAF46" s="198"/>
      <c r="QAG46" s="198"/>
      <c r="QAH46" s="827"/>
      <c r="QAI46" s="198"/>
      <c r="QAJ46" s="826"/>
      <c r="QAK46" s="1437"/>
      <c r="QAL46" s="1438"/>
      <c r="QAM46" s="198"/>
      <c r="QAN46" s="198"/>
      <c r="QAO46" s="198"/>
      <c r="QAP46" s="198"/>
      <c r="QAQ46" s="198"/>
      <c r="QAR46" s="198"/>
      <c r="QAS46" s="827"/>
      <c r="QAT46" s="198"/>
      <c r="QAU46" s="826"/>
      <c r="QAV46" s="1437"/>
      <c r="QAW46" s="1438"/>
      <c r="QAX46" s="198"/>
      <c r="QAY46" s="198"/>
      <c r="QAZ46" s="198"/>
      <c r="QBA46" s="198"/>
      <c r="QBB46" s="198"/>
      <c r="QBC46" s="198"/>
      <c r="QBD46" s="827"/>
      <c r="QBE46" s="198"/>
      <c r="QBF46" s="826"/>
      <c r="QBG46" s="1437"/>
      <c r="QBH46" s="1438"/>
      <c r="QBI46" s="198"/>
      <c r="QBJ46" s="198"/>
      <c r="QBK46" s="198"/>
      <c r="QBL46" s="198"/>
      <c r="QBM46" s="198"/>
      <c r="QBN46" s="198"/>
      <c r="QBO46" s="827"/>
      <c r="QBP46" s="198"/>
      <c r="QBQ46" s="826"/>
      <c r="QBR46" s="1437"/>
      <c r="QBS46" s="1438"/>
      <c r="QBT46" s="198"/>
      <c r="QBU46" s="198"/>
      <c r="QBV46" s="198"/>
      <c r="QBW46" s="198"/>
      <c r="QBX46" s="198"/>
      <c r="QBY46" s="198"/>
      <c r="QBZ46" s="827"/>
      <c r="QCA46" s="198"/>
      <c r="QCB46" s="826"/>
      <c r="QCC46" s="1437"/>
      <c r="QCD46" s="1438"/>
      <c r="QCE46" s="198"/>
      <c r="QCF46" s="198"/>
      <c r="QCG46" s="198"/>
      <c r="QCH46" s="198"/>
      <c r="QCI46" s="198"/>
      <c r="QCJ46" s="198"/>
      <c r="QCK46" s="827"/>
      <c r="QCL46" s="198"/>
      <c r="QCM46" s="826"/>
      <c r="QCN46" s="1437"/>
      <c r="QCO46" s="1438"/>
      <c r="QCP46" s="198"/>
      <c r="QCQ46" s="198"/>
      <c r="QCR46" s="198"/>
      <c r="QCS46" s="198"/>
      <c r="QCT46" s="198"/>
      <c r="QCU46" s="198"/>
      <c r="QCV46" s="827"/>
      <c r="QCW46" s="198"/>
      <c r="QCX46" s="826"/>
      <c r="QCY46" s="1437"/>
      <c r="QCZ46" s="1438"/>
      <c r="QDA46" s="198"/>
      <c r="QDB46" s="198"/>
      <c r="QDC46" s="198"/>
      <c r="QDD46" s="198"/>
      <c r="QDE46" s="198"/>
      <c r="QDF46" s="198"/>
      <c r="QDG46" s="827"/>
      <c r="QDH46" s="198"/>
      <c r="QDI46" s="826"/>
      <c r="QDJ46" s="1437"/>
      <c r="QDK46" s="1438"/>
      <c r="QDL46" s="198"/>
      <c r="QDM46" s="198"/>
      <c r="QDN46" s="198"/>
      <c r="QDO46" s="198"/>
      <c r="QDP46" s="198"/>
      <c r="QDQ46" s="198"/>
      <c r="QDR46" s="827"/>
      <c r="QDS46" s="198"/>
      <c r="QDT46" s="826"/>
      <c r="QDU46" s="1437"/>
      <c r="QDV46" s="1438"/>
      <c r="QDW46" s="198"/>
      <c r="QDX46" s="198"/>
      <c r="QDY46" s="198"/>
      <c r="QDZ46" s="198"/>
      <c r="QEA46" s="198"/>
      <c r="QEB46" s="198"/>
      <c r="QEC46" s="827"/>
      <c r="QED46" s="198"/>
      <c r="QEE46" s="826"/>
      <c r="QEF46" s="1437"/>
      <c r="QEG46" s="1438"/>
      <c r="QEH46" s="198"/>
      <c r="QEI46" s="198"/>
      <c r="QEJ46" s="198"/>
      <c r="QEK46" s="198"/>
      <c r="QEL46" s="198"/>
      <c r="QEM46" s="198"/>
      <c r="QEN46" s="827"/>
      <c r="QEO46" s="198"/>
      <c r="QEP46" s="826"/>
      <c r="QEQ46" s="1437"/>
      <c r="QER46" s="1438"/>
      <c r="QES46" s="198"/>
      <c r="QET46" s="198"/>
      <c r="QEU46" s="198"/>
      <c r="QEV46" s="198"/>
      <c r="QEW46" s="198"/>
      <c r="QEX46" s="198"/>
      <c r="QEY46" s="827"/>
      <c r="QEZ46" s="198"/>
      <c r="QFA46" s="826"/>
      <c r="QFB46" s="1437"/>
      <c r="QFC46" s="1438"/>
      <c r="QFD46" s="198"/>
      <c r="QFE46" s="198"/>
      <c r="QFF46" s="198"/>
      <c r="QFG46" s="198"/>
      <c r="QFH46" s="198"/>
      <c r="QFI46" s="198"/>
      <c r="QFJ46" s="827"/>
      <c r="QFK46" s="198"/>
      <c r="QFL46" s="826"/>
      <c r="QFM46" s="1437"/>
      <c r="QFN46" s="1438"/>
      <c r="QFO46" s="198"/>
      <c r="QFP46" s="198"/>
      <c r="QFQ46" s="198"/>
      <c r="QFR46" s="198"/>
      <c r="QFS46" s="198"/>
      <c r="QFT46" s="198"/>
      <c r="QFU46" s="827"/>
      <c r="QFV46" s="198"/>
      <c r="QFW46" s="826"/>
      <c r="QFX46" s="1437"/>
      <c r="QFY46" s="1438"/>
      <c r="QFZ46" s="198"/>
      <c r="QGA46" s="198"/>
      <c r="QGB46" s="198"/>
      <c r="QGC46" s="198"/>
      <c r="QGD46" s="198"/>
      <c r="QGE46" s="198"/>
      <c r="QGF46" s="827"/>
      <c r="QGG46" s="198"/>
      <c r="QGH46" s="826"/>
      <c r="QGI46" s="1437"/>
      <c r="QGJ46" s="1438"/>
      <c r="QGK46" s="198"/>
      <c r="QGL46" s="198"/>
      <c r="QGM46" s="198"/>
      <c r="QGN46" s="198"/>
      <c r="QGO46" s="198"/>
      <c r="QGP46" s="198"/>
      <c r="QGQ46" s="827"/>
      <c r="QGR46" s="198"/>
      <c r="QGS46" s="826"/>
      <c r="QGT46" s="1437"/>
      <c r="QGU46" s="1438"/>
      <c r="QGV46" s="198"/>
      <c r="QGW46" s="198"/>
      <c r="QGX46" s="198"/>
      <c r="QGY46" s="198"/>
      <c r="QGZ46" s="198"/>
      <c r="QHA46" s="198"/>
      <c r="QHB46" s="827"/>
      <c r="QHC46" s="198"/>
      <c r="QHD46" s="826"/>
      <c r="QHE46" s="1437"/>
      <c r="QHF46" s="1438"/>
      <c r="QHG46" s="198"/>
      <c r="QHH46" s="198"/>
      <c r="QHI46" s="198"/>
      <c r="QHJ46" s="198"/>
      <c r="QHK46" s="198"/>
      <c r="QHL46" s="198"/>
      <c r="QHM46" s="827"/>
      <c r="QHN46" s="198"/>
      <c r="QHO46" s="826"/>
      <c r="QHP46" s="1437"/>
      <c r="QHQ46" s="1438"/>
      <c r="QHR46" s="198"/>
      <c r="QHS46" s="198"/>
      <c r="QHT46" s="198"/>
      <c r="QHU46" s="198"/>
      <c r="QHV46" s="198"/>
      <c r="QHW46" s="198"/>
      <c r="QHX46" s="827"/>
      <c r="QHY46" s="198"/>
      <c r="QHZ46" s="826"/>
      <c r="QIA46" s="1437"/>
      <c r="QIB46" s="1438"/>
      <c r="QIC46" s="198"/>
      <c r="QID46" s="198"/>
      <c r="QIE46" s="198"/>
      <c r="QIF46" s="198"/>
      <c r="QIG46" s="198"/>
      <c r="QIH46" s="198"/>
      <c r="QII46" s="827"/>
      <c r="QIJ46" s="198"/>
      <c r="QIK46" s="826"/>
      <c r="QIL46" s="1437"/>
      <c r="QIM46" s="1438"/>
      <c r="QIN46" s="198"/>
      <c r="QIO46" s="198"/>
      <c r="QIP46" s="198"/>
      <c r="QIQ46" s="198"/>
      <c r="QIR46" s="198"/>
      <c r="QIS46" s="198"/>
      <c r="QIT46" s="827"/>
      <c r="QIU46" s="198"/>
      <c r="QIV46" s="826"/>
      <c r="QIW46" s="1437"/>
      <c r="QIX46" s="1438"/>
      <c r="QIY46" s="198"/>
      <c r="QIZ46" s="198"/>
      <c r="QJA46" s="198"/>
      <c r="QJB46" s="198"/>
      <c r="QJC46" s="198"/>
      <c r="QJD46" s="198"/>
      <c r="QJE46" s="827"/>
      <c r="QJF46" s="198"/>
      <c r="QJG46" s="826"/>
      <c r="QJH46" s="1437"/>
      <c r="QJI46" s="1438"/>
      <c r="QJJ46" s="198"/>
      <c r="QJK46" s="198"/>
      <c r="QJL46" s="198"/>
      <c r="QJM46" s="198"/>
      <c r="QJN46" s="198"/>
      <c r="QJO46" s="198"/>
      <c r="QJP46" s="827"/>
      <c r="QJQ46" s="198"/>
      <c r="QJR46" s="826"/>
      <c r="QJS46" s="1437"/>
      <c r="QJT46" s="1438"/>
      <c r="QJU46" s="198"/>
      <c r="QJV46" s="198"/>
      <c r="QJW46" s="198"/>
      <c r="QJX46" s="198"/>
      <c r="QJY46" s="198"/>
      <c r="QJZ46" s="198"/>
      <c r="QKA46" s="827"/>
      <c r="QKB46" s="198"/>
      <c r="QKC46" s="826"/>
      <c r="QKD46" s="1437"/>
      <c r="QKE46" s="1438"/>
      <c r="QKF46" s="198"/>
      <c r="QKG46" s="198"/>
      <c r="QKH46" s="198"/>
      <c r="QKI46" s="198"/>
      <c r="QKJ46" s="198"/>
      <c r="QKK46" s="198"/>
      <c r="QKL46" s="827"/>
      <c r="QKM46" s="198"/>
      <c r="QKN46" s="826"/>
      <c r="QKO46" s="1437"/>
      <c r="QKP46" s="1438"/>
      <c r="QKQ46" s="198"/>
      <c r="QKR46" s="198"/>
      <c r="QKS46" s="198"/>
      <c r="QKT46" s="198"/>
      <c r="QKU46" s="198"/>
      <c r="QKV46" s="198"/>
      <c r="QKW46" s="827"/>
      <c r="QKX46" s="198"/>
      <c r="QKY46" s="826"/>
      <c r="QKZ46" s="1437"/>
      <c r="QLA46" s="1438"/>
      <c r="QLB46" s="198"/>
      <c r="QLC46" s="198"/>
      <c r="QLD46" s="198"/>
      <c r="QLE46" s="198"/>
      <c r="QLF46" s="198"/>
      <c r="QLG46" s="198"/>
      <c r="QLH46" s="827"/>
      <c r="QLI46" s="198"/>
      <c r="QLJ46" s="826"/>
      <c r="QLK46" s="1437"/>
      <c r="QLL46" s="1438"/>
      <c r="QLM46" s="198"/>
      <c r="QLN46" s="198"/>
      <c r="QLO46" s="198"/>
      <c r="QLP46" s="198"/>
      <c r="QLQ46" s="198"/>
      <c r="QLR46" s="198"/>
      <c r="QLS46" s="827"/>
      <c r="QLT46" s="198"/>
      <c r="QLU46" s="826"/>
      <c r="QLV46" s="1437"/>
      <c r="QLW46" s="1438"/>
      <c r="QLX46" s="198"/>
      <c r="QLY46" s="198"/>
      <c r="QLZ46" s="198"/>
      <c r="QMA46" s="198"/>
      <c r="QMB46" s="198"/>
      <c r="QMC46" s="198"/>
      <c r="QMD46" s="827"/>
      <c r="QME46" s="198"/>
      <c r="QMF46" s="826"/>
      <c r="QMG46" s="1437"/>
      <c r="QMH46" s="1438"/>
      <c r="QMI46" s="198"/>
      <c r="QMJ46" s="198"/>
      <c r="QMK46" s="198"/>
      <c r="QML46" s="198"/>
      <c r="QMM46" s="198"/>
      <c r="QMN46" s="198"/>
      <c r="QMO46" s="827"/>
      <c r="QMP46" s="198"/>
      <c r="QMQ46" s="826"/>
      <c r="QMR46" s="1437"/>
      <c r="QMS46" s="1438"/>
      <c r="QMT46" s="198"/>
      <c r="QMU46" s="198"/>
      <c r="QMV46" s="198"/>
      <c r="QMW46" s="198"/>
      <c r="QMX46" s="198"/>
      <c r="QMY46" s="198"/>
      <c r="QMZ46" s="827"/>
      <c r="QNA46" s="198"/>
      <c r="QNB46" s="826"/>
      <c r="QNC46" s="1437"/>
      <c r="QND46" s="1438"/>
      <c r="QNE46" s="198"/>
      <c r="QNF46" s="198"/>
      <c r="QNG46" s="198"/>
      <c r="QNH46" s="198"/>
      <c r="QNI46" s="198"/>
      <c r="QNJ46" s="198"/>
      <c r="QNK46" s="827"/>
      <c r="QNL46" s="198"/>
      <c r="QNM46" s="826"/>
      <c r="QNN46" s="1437"/>
      <c r="QNO46" s="1438"/>
      <c r="QNP46" s="198"/>
      <c r="QNQ46" s="198"/>
      <c r="QNR46" s="198"/>
      <c r="QNS46" s="198"/>
      <c r="QNT46" s="198"/>
      <c r="QNU46" s="198"/>
      <c r="QNV46" s="827"/>
      <c r="QNW46" s="198"/>
      <c r="QNX46" s="826"/>
      <c r="QNY46" s="1437"/>
      <c r="QNZ46" s="1438"/>
      <c r="QOA46" s="198"/>
      <c r="QOB46" s="198"/>
      <c r="QOC46" s="198"/>
      <c r="QOD46" s="198"/>
      <c r="QOE46" s="198"/>
      <c r="QOF46" s="198"/>
      <c r="QOG46" s="827"/>
      <c r="QOH46" s="198"/>
      <c r="QOI46" s="826"/>
      <c r="QOJ46" s="1437"/>
      <c r="QOK46" s="1438"/>
      <c r="QOL46" s="198"/>
      <c r="QOM46" s="198"/>
      <c r="QON46" s="198"/>
      <c r="QOO46" s="198"/>
      <c r="QOP46" s="198"/>
      <c r="QOQ46" s="198"/>
      <c r="QOR46" s="827"/>
      <c r="QOS46" s="198"/>
      <c r="QOT46" s="826"/>
      <c r="QOU46" s="1437"/>
      <c r="QOV46" s="1438"/>
      <c r="QOW46" s="198"/>
      <c r="QOX46" s="198"/>
      <c r="QOY46" s="198"/>
      <c r="QOZ46" s="198"/>
      <c r="QPA46" s="198"/>
      <c r="QPB46" s="198"/>
      <c r="QPC46" s="827"/>
      <c r="QPD46" s="198"/>
      <c r="QPE46" s="826"/>
      <c r="QPF46" s="1437"/>
      <c r="QPG46" s="1438"/>
      <c r="QPH46" s="198"/>
      <c r="QPI46" s="198"/>
      <c r="QPJ46" s="198"/>
      <c r="QPK46" s="198"/>
      <c r="QPL46" s="198"/>
      <c r="QPM46" s="198"/>
      <c r="QPN46" s="827"/>
      <c r="QPO46" s="198"/>
      <c r="QPP46" s="826"/>
      <c r="QPQ46" s="1437"/>
      <c r="QPR46" s="1438"/>
      <c r="QPS46" s="198"/>
      <c r="QPT46" s="198"/>
      <c r="QPU46" s="198"/>
      <c r="QPV46" s="198"/>
      <c r="QPW46" s="198"/>
      <c r="QPX46" s="198"/>
      <c r="QPY46" s="827"/>
      <c r="QPZ46" s="198"/>
      <c r="QQA46" s="826"/>
      <c r="QQB46" s="1437"/>
      <c r="QQC46" s="1438"/>
      <c r="QQD46" s="198"/>
      <c r="QQE46" s="198"/>
      <c r="QQF46" s="198"/>
      <c r="QQG46" s="198"/>
      <c r="QQH46" s="198"/>
      <c r="QQI46" s="198"/>
      <c r="QQJ46" s="827"/>
      <c r="QQK46" s="198"/>
      <c r="QQL46" s="826"/>
      <c r="QQM46" s="1437"/>
      <c r="QQN46" s="1438"/>
      <c r="QQO46" s="198"/>
      <c r="QQP46" s="198"/>
      <c r="QQQ46" s="198"/>
      <c r="QQR46" s="198"/>
      <c r="QQS46" s="198"/>
      <c r="QQT46" s="198"/>
      <c r="QQU46" s="827"/>
      <c r="QQV46" s="198"/>
      <c r="QQW46" s="826"/>
      <c r="QQX46" s="1437"/>
      <c r="QQY46" s="1438"/>
      <c r="QQZ46" s="198"/>
      <c r="QRA46" s="198"/>
      <c r="QRB46" s="198"/>
      <c r="QRC46" s="198"/>
      <c r="QRD46" s="198"/>
      <c r="QRE46" s="198"/>
      <c r="QRF46" s="827"/>
      <c r="QRG46" s="198"/>
      <c r="QRH46" s="826"/>
      <c r="QRI46" s="1437"/>
      <c r="QRJ46" s="1438"/>
      <c r="QRK46" s="198"/>
      <c r="QRL46" s="198"/>
      <c r="QRM46" s="198"/>
      <c r="QRN46" s="198"/>
      <c r="QRO46" s="198"/>
      <c r="QRP46" s="198"/>
      <c r="QRQ46" s="827"/>
      <c r="QRR46" s="198"/>
      <c r="QRS46" s="826"/>
      <c r="QRT46" s="1437"/>
      <c r="QRU46" s="1438"/>
      <c r="QRV46" s="198"/>
      <c r="QRW46" s="198"/>
      <c r="QRX46" s="198"/>
      <c r="QRY46" s="198"/>
      <c r="QRZ46" s="198"/>
      <c r="QSA46" s="198"/>
      <c r="QSB46" s="827"/>
      <c r="QSC46" s="198"/>
      <c r="QSD46" s="826"/>
      <c r="QSE46" s="1437"/>
      <c r="QSF46" s="1438"/>
      <c r="QSG46" s="198"/>
      <c r="QSH46" s="198"/>
      <c r="QSI46" s="198"/>
      <c r="QSJ46" s="198"/>
      <c r="QSK46" s="198"/>
      <c r="QSL46" s="198"/>
      <c r="QSM46" s="827"/>
      <c r="QSN46" s="198"/>
      <c r="QSO46" s="826"/>
      <c r="QSP46" s="1437"/>
      <c r="QSQ46" s="1438"/>
      <c r="QSR46" s="198"/>
      <c r="QSS46" s="198"/>
      <c r="QST46" s="198"/>
      <c r="QSU46" s="198"/>
      <c r="QSV46" s="198"/>
      <c r="QSW46" s="198"/>
      <c r="QSX46" s="827"/>
      <c r="QSY46" s="198"/>
      <c r="QSZ46" s="826"/>
      <c r="QTA46" s="1437"/>
      <c r="QTB46" s="1438"/>
      <c r="QTC46" s="198"/>
      <c r="QTD46" s="198"/>
      <c r="QTE46" s="198"/>
      <c r="QTF46" s="198"/>
      <c r="QTG46" s="198"/>
      <c r="QTH46" s="198"/>
      <c r="QTI46" s="827"/>
      <c r="QTJ46" s="198"/>
      <c r="QTK46" s="826"/>
      <c r="QTL46" s="1437"/>
      <c r="QTM46" s="1438"/>
      <c r="QTN46" s="198"/>
      <c r="QTO46" s="198"/>
      <c r="QTP46" s="198"/>
      <c r="QTQ46" s="198"/>
      <c r="QTR46" s="198"/>
      <c r="QTS46" s="198"/>
      <c r="QTT46" s="827"/>
      <c r="QTU46" s="198"/>
      <c r="QTV46" s="826"/>
      <c r="QTW46" s="1437"/>
      <c r="QTX46" s="1438"/>
      <c r="QTY46" s="198"/>
      <c r="QTZ46" s="198"/>
      <c r="QUA46" s="198"/>
      <c r="QUB46" s="198"/>
      <c r="QUC46" s="198"/>
      <c r="QUD46" s="198"/>
      <c r="QUE46" s="827"/>
      <c r="QUF46" s="198"/>
      <c r="QUG46" s="826"/>
      <c r="QUH46" s="1437"/>
      <c r="QUI46" s="1438"/>
      <c r="QUJ46" s="198"/>
      <c r="QUK46" s="198"/>
      <c r="QUL46" s="198"/>
      <c r="QUM46" s="198"/>
      <c r="QUN46" s="198"/>
      <c r="QUO46" s="198"/>
      <c r="QUP46" s="827"/>
      <c r="QUQ46" s="198"/>
      <c r="QUR46" s="826"/>
      <c r="QUS46" s="1437"/>
      <c r="QUT46" s="1438"/>
      <c r="QUU46" s="198"/>
      <c r="QUV46" s="198"/>
      <c r="QUW46" s="198"/>
      <c r="QUX46" s="198"/>
      <c r="QUY46" s="198"/>
      <c r="QUZ46" s="198"/>
      <c r="QVA46" s="827"/>
      <c r="QVB46" s="198"/>
      <c r="QVC46" s="826"/>
      <c r="QVD46" s="1437"/>
      <c r="QVE46" s="1438"/>
      <c r="QVF46" s="198"/>
      <c r="QVG46" s="198"/>
      <c r="QVH46" s="198"/>
      <c r="QVI46" s="198"/>
      <c r="QVJ46" s="198"/>
      <c r="QVK46" s="198"/>
      <c r="QVL46" s="827"/>
      <c r="QVM46" s="198"/>
      <c r="QVN46" s="826"/>
      <c r="QVO46" s="1437"/>
      <c r="QVP46" s="1438"/>
      <c r="QVQ46" s="198"/>
      <c r="QVR46" s="198"/>
      <c r="QVS46" s="198"/>
      <c r="QVT46" s="198"/>
      <c r="QVU46" s="198"/>
      <c r="QVV46" s="198"/>
      <c r="QVW46" s="827"/>
      <c r="QVX46" s="198"/>
      <c r="QVY46" s="826"/>
      <c r="QVZ46" s="1437"/>
      <c r="QWA46" s="1438"/>
      <c r="QWB46" s="198"/>
      <c r="QWC46" s="198"/>
      <c r="QWD46" s="198"/>
      <c r="QWE46" s="198"/>
      <c r="QWF46" s="198"/>
      <c r="QWG46" s="198"/>
      <c r="QWH46" s="827"/>
      <c r="QWI46" s="198"/>
      <c r="QWJ46" s="826"/>
      <c r="QWK46" s="1437"/>
      <c r="QWL46" s="1438"/>
      <c r="QWM46" s="198"/>
      <c r="QWN46" s="198"/>
      <c r="QWO46" s="198"/>
      <c r="QWP46" s="198"/>
      <c r="QWQ46" s="198"/>
      <c r="QWR46" s="198"/>
      <c r="QWS46" s="827"/>
      <c r="QWT46" s="198"/>
      <c r="QWU46" s="826"/>
      <c r="QWV46" s="1437"/>
      <c r="QWW46" s="1438"/>
      <c r="QWX46" s="198"/>
      <c r="QWY46" s="198"/>
      <c r="QWZ46" s="198"/>
      <c r="QXA46" s="198"/>
      <c r="QXB46" s="198"/>
      <c r="QXC46" s="198"/>
      <c r="QXD46" s="827"/>
      <c r="QXE46" s="198"/>
      <c r="QXF46" s="826"/>
      <c r="QXG46" s="1437"/>
      <c r="QXH46" s="1438"/>
      <c r="QXI46" s="198"/>
      <c r="QXJ46" s="198"/>
      <c r="QXK46" s="198"/>
      <c r="QXL46" s="198"/>
      <c r="QXM46" s="198"/>
      <c r="QXN46" s="198"/>
      <c r="QXO46" s="827"/>
      <c r="QXP46" s="198"/>
      <c r="QXQ46" s="826"/>
      <c r="QXR46" s="1437"/>
      <c r="QXS46" s="1438"/>
      <c r="QXT46" s="198"/>
      <c r="QXU46" s="198"/>
      <c r="QXV46" s="198"/>
      <c r="QXW46" s="198"/>
      <c r="QXX46" s="198"/>
      <c r="QXY46" s="198"/>
      <c r="QXZ46" s="827"/>
      <c r="QYA46" s="198"/>
      <c r="QYB46" s="826"/>
      <c r="QYC46" s="1437"/>
      <c r="QYD46" s="1438"/>
      <c r="QYE46" s="198"/>
      <c r="QYF46" s="198"/>
      <c r="QYG46" s="198"/>
      <c r="QYH46" s="198"/>
      <c r="QYI46" s="198"/>
      <c r="QYJ46" s="198"/>
      <c r="QYK46" s="827"/>
      <c r="QYL46" s="198"/>
      <c r="QYM46" s="826"/>
      <c r="QYN46" s="1437"/>
      <c r="QYO46" s="1438"/>
      <c r="QYP46" s="198"/>
      <c r="QYQ46" s="198"/>
      <c r="QYR46" s="198"/>
      <c r="QYS46" s="198"/>
      <c r="QYT46" s="198"/>
      <c r="QYU46" s="198"/>
      <c r="QYV46" s="827"/>
      <c r="QYW46" s="198"/>
      <c r="QYX46" s="826"/>
      <c r="QYY46" s="1437"/>
      <c r="QYZ46" s="1438"/>
      <c r="QZA46" s="198"/>
      <c r="QZB46" s="198"/>
      <c r="QZC46" s="198"/>
      <c r="QZD46" s="198"/>
      <c r="QZE46" s="198"/>
      <c r="QZF46" s="198"/>
      <c r="QZG46" s="827"/>
      <c r="QZH46" s="198"/>
      <c r="QZI46" s="826"/>
      <c r="QZJ46" s="1437"/>
      <c r="QZK46" s="1438"/>
      <c r="QZL46" s="198"/>
      <c r="QZM46" s="198"/>
      <c r="QZN46" s="198"/>
      <c r="QZO46" s="198"/>
      <c r="QZP46" s="198"/>
      <c r="QZQ46" s="198"/>
      <c r="QZR46" s="827"/>
      <c r="QZS46" s="198"/>
      <c r="QZT46" s="826"/>
      <c r="QZU46" s="1437"/>
      <c r="QZV46" s="1438"/>
      <c r="QZW46" s="198"/>
      <c r="QZX46" s="198"/>
      <c r="QZY46" s="198"/>
      <c r="QZZ46" s="198"/>
      <c r="RAA46" s="198"/>
      <c r="RAB46" s="198"/>
      <c r="RAC46" s="827"/>
      <c r="RAD46" s="198"/>
      <c r="RAE46" s="826"/>
      <c r="RAF46" s="1437"/>
      <c r="RAG46" s="1438"/>
      <c r="RAH46" s="198"/>
      <c r="RAI46" s="198"/>
      <c r="RAJ46" s="198"/>
      <c r="RAK46" s="198"/>
      <c r="RAL46" s="198"/>
      <c r="RAM46" s="198"/>
      <c r="RAN46" s="827"/>
      <c r="RAO46" s="198"/>
      <c r="RAP46" s="826"/>
      <c r="RAQ46" s="1437"/>
      <c r="RAR46" s="1438"/>
      <c r="RAS46" s="198"/>
      <c r="RAT46" s="198"/>
      <c r="RAU46" s="198"/>
      <c r="RAV46" s="198"/>
      <c r="RAW46" s="198"/>
      <c r="RAX46" s="198"/>
      <c r="RAY46" s="827"/>
      <c r="RAZ46" s="198"/>
      <c r="RBA46" s="826"/>
      <c r="RBB46" s="1437"/>
      <c r="RBC46" s="1438"/>
      <c r="RBD46" s="198"/>
      <c r="RBE46" s="198"/>
      <c r="RBF46" s="198"/>
      <c r="RBG46" s="198"/>
      <c r="RBH46" s="198"/>
      <c r="RBI46" s="198"/>
      <c r="RBJ46" s="827"/>
      <c r="RBK46" s="198"/>
      <c r="RBL46" s="826"/>
      <c r="RBM46" s="1437"/>
      <c r="RBN46" s="1438"/>
      <c r="RBO46" s="198"/>
      <c r="RBP46" s="198"/>
      <c r="RBQ46" s="198"/>
      <c r="RBR46" s="198"/>
      <c r="RBS46" s="198"/>
      <c r="RBT46" s="198"/>
      <c r="RBU46" s="827"/>
      <c r="RBV46" s="198"/>
      <c r="RBW46" s="826"/>
      <c r="RBX46" s="1437"/>
      <c r="RBY46" s="1438"/>
      <c r="RBZ46" s="198"/>
      <c r="RCA46" s="198"/>
      <c r="RCB46" s="198"/>
      <c r="RCC46" s="198"/>
      <c r="RCD46" s="198"/>
      <c r="RCE46" s="198"/>
      <c r="RCF46" s="827"/>
      <c r="RCG46" s="198"/>
      <c r="RCH46" s="826"/>
      <c r="RCI46" s="1437"/>
      <c r="RCJ46" s="1438"/>
      <c r="RCK46" s="198"/>
      <c r="RCL46" s="198"/>
      <c r="RCM46" s="198"/>
      <c r="RCN46" s="198"/>
      <c r="RCO46" s="198"/>
      <c r="RCP46" s="198"/>
      <c r="RCQ46" s="827"/>
      <c r="RCR46" s="198"/>
      <c r="RCS46" s="826"/>
      <c r="RCT46" s="1437"/>
      <c r="RCU46" s="1438"/>
      <c r="RCV46" s="198"/>
      <c r="RCW46" s="198"/>
      <c r="RCX46" s="198"/>
      <c r="RCY46" s="198"/>
      <c r="RCZ46" s="198"/>
      <c r="RDA46" s="198"/>
      <c r="RDB46" s="827"/>
      <c r="RDC46" s="198"/>
      <c r="RDD46" s="826"/>
      <c r="RDE46" s="1437"/>
      <c r="RDF46" s="1438"/>
      <c r="RDG46" s="198"/>
      <c r="RDH46" s="198"/>
      <c r="RDI46" s="198"/>
      <c r="RDJ46" s="198"/>
      <c r="RDK46" s="198"/>
      <c r="RDL46" s="198"/>
      <c r="RDM46" s="827"/>
      <c r="RDN46" s="198"/>
      <c r="RDO46" s="826"/>
      <c r="RDP46" s="1437"/>
      <c r="RDQ46" s="1438"/>
      <c r="RDR46" s="198"/>
      <c r="RDS46" s="198"/>
      <c r="RDT46" s="198"/>
      <c r="RDU46" s="198"/>
      <c r="RDV46" s="198"/>
      <c r="RDW46" s="198"/>
      <c r="RDX46" s="827"/>
      <c r="RDY46" s="198"/>
      <c r="RDZ46" s="826"/>
      <c r="REA46" s="1437"/>
      <c r="REB46" s="1438"/>
      <c r="REC46" s="198"/>
      <c r="RED46" s="198"/>
      <c r="REE46" s="198"/>
      <c r="REF46" s="198"/>
      <c r="REG46" s="198"/>
      <c r="REH46" s="198"/>
      <c r="REI46" s="827"/>
      <c r="REJ46" s="198"/>
      <c r="REK46" s="826"/>
      <c r="REL46" s="1437"/>
      <c r="REM46" s="1438"/>
      <c r="REN46" s="198"/>
      <c r="REO46" s="198"/>
      <c r="REP46" s="198"/>
      <c r="REQ46" s="198"/>
      <c r="RER46" s="198"/>
      <c r="RES46" s="198"/>
      <c r="RET46" s="827"/>
      <c r="REU46" s="198"/>
      <c r="REV46" s="826"/>
      <c r="REW46" s="1437"/>
      <c r="REX46" s="1438"/>
      <c r="REY46" s="198"/>
      <c r="REZ46" s="198"/>
      <c r="RFA46" s="198"/>
      <c r="RFB46" s="198"/>
      <c r="RFC46" s="198"/>
      <c r="RFD46" s="198"/>
      <c r="RFE46" s="827"/>
      <c r="RFF46" s="198"/>
      <c r="RFG46" s="826"/>
      <c r="RFH46" s="1437"/>
      <c r="RFI46" s="1438"/>
      <c r="RFJ46" s="198"/>
      <c r="RFK46" s="198"/>
      <c r="RFL46" s="198"/>
      <c r="RFM46" s="198"/>
      <c r="RFN46" s="198"/>
      <c r="RFO46" s="198"/>
      <c r="RFP46" s="827"/>
      <c r="RFQ46" s="198"/>
      <c r="RFR46" s="826"/>
      <c r="RFS46" s="1437"/>
      <c r="RFT46" s="1438"/>
      <c r="RFU46" s="198"/>
      <c r="RFV46" s="198"/>
      <c r="RFW46" s="198"/>
      <c r="RFX46" s="198"/>
      <c r="RFY46" s="198"/>
      <c r="RFZ46" s="198"/>
      <c r="RGA46" s="827"/>
      <c r="RGB46" s="198"/>
      <c r="RGC46" s="826"/>
      <c r="RGD46" s="1437"/>
      <c r="RGE46" s="1438"/>
      <c r="RGF46" s="198"/>
      <c r="RGG46" s="198"/>
      <c r="RGH46" s="198"/>
      <c r="RGI46" s="198"/>
      <c r="RGJ46" s="198"/>
      <c r="RGK46" s="198"/>
      <c r="RGL46" s="827"/>
      <c r="RGM46" s="198"/>
      <c r="RGN46" s="826"/>
      <c r="RGO46" s="1437"/>
      <c r="RGP46" s="1438"/>
      <c r="RGQ46" s="198"/>
      <c r="RGR46" s="198"/>
      <c r="RGS46" s="198"/>
      <c r="RGT46" s="198"/>
      <c r="RGU46" s="198"/>
      <c r="RGV46" s="198"/>
      <c r="RGW46" s="827"/>
      <c r="RGX46" s="198"/>
      <c r="RGY46" s="826"/>
      <c r="RGZ46" s="1437"/>
      <c r="RHA46" s="1438"/>
      <c r="RHB46" s="198"/>
      <c r="RHC46" s="198"/>
      <c r="RHD46" s="198"/>
      <c r="RHE46" s="198"/>
      <c r="RHF46" s="198"/>
      <c r="RHG46" s="198"/>
      <c r="RHH46" s="827"/>
      <c r="RHI46" s="198"/>
      <c r="RHJ46" s="826"/>
      <c r="RHK46" s="1437"/>
      <c r="RHL46" s="1438"/>
      <c r="RHM46" s="198"/>
      <c r="RHN46" s="198"/>
      <c r="RHO46" s="198"/>
      <c r="RHP46" s="198"/>
      <c r="RHQ46" s="198"/>
      <c r="RHR46" s="198"/>
      <c r="RHS46" s="827"/>
      <c r="RHT46" s="198"/>
      <c r="RHU46" s="826"/>
      <c r="RHV46" s="1437"/>
      <c r="RHW46" s="1438"/>
      <c r="RHX46" s="198"/>
      <c r="RHY46" s="198"/>
      <c r="RHZ46" s="198"/>
      <c r="RIA46" s="198"/>
      <c r="RIB46" s="198"/>
      <c r="RIC46" s="198"/>
      <c r="RID46" s="827"/>
      <c r="RIE46" s="198"/>
      <c r="RIF46" s="826"/>
      <c r="RIG46" s="1437"/>
      <c r="RIH46" s="1438"/>
      <c r="RII46" s="198"/>
      <c r="RIJ46" s="198"/>
      <c r="RIK46" s="198"/>
      <c r="RIL46" s="198"/>
      <c r="RIM46" s="198"/>
      <c r="RIN46" s="198"/>
      <c r="RIO46" s="827"/>
      <c r="RIP46" s="198"/>
      <c r="RIQ46" s="826"/>
      <c r="RIR46" s="1437"/>
      <c r="RIS46" s="1438"/>
      <c r="RIT46" s="198"/>
      <c r="RIU46" s="198"/>
      <c r="RIV46" s="198"/>
      <c r="RIW46" s="198"/>
      <c r="RIX46" s="198"/>
      <c r="RIY46" s="198"/>
      <c r="RIZ46" s="827"/>
      <c r="RJA46" s="198"/>
      <c r="RJB46" s="826"/>
      <c r="RJC46" s="1437"/>
      <c r="RJD46" s="1438"/>
      <c r="RJE46" s="198"/>
      <c r="RJF46" s="198"/>
      <c r="RJG46" s="198"/>
      <c r="RJH46" s="198"/>
      <c r="RJI46" s="198"/>
      <c r="RJJ46" s="198"/>
      <c r="RJK46" s="827"/>
      <c r="RJL46" s="198"/>
      <c r="RJM46" s="826"/>
      <c r="RJN46" s="1437"/>
      <c r="RJO46" s="1438"/>
      <c r="RJP46" s="198"/>
      <c r="RJQ46" s="198"/>
      <c r="RJR46" s="198"/>
      <c r="RJS46" s="198"/>
      <c r="RJT46" s="198"/>
      <c r="RJU46" s="198"/>
      <c r="RJV46" s="827"/>
      <c r="RJW46" s="198"/>
      <c r="RJX46" s="826"/>
      <c r="RJY46" s="1437"/>
      <c r="RJZ46" s="1438"/>
      <c r="RKA46" s="198"/>
      <c r="RKB46" s="198"/>
      <c r="RKC46" s="198"/>
      <c r="RKD46" s="198"/>
      <c r="RKE46" s="198"/>
      <c r="RKF46" s="198"/>
      <c r="RKG46" s="827"/>
      <c r="RKH46" s="198"/>
      <c r="RKI46" s="826"/>
      <c r="RKJ46" s="1437"/>
      <c r="RKK46" s="1438"/>
      <c r="RKL46" s="198"/>
      <c r="RKM46" s="198"/>
      <c r="RKN46" s="198"/>
      <c r="RKO46" s="198"/>
      <c r="RKP46" s="198"/>
      <c r="RKQ46" s="198"/>
      <c r="RKR46" s="827"/>
      <c r="RKS46" s="198"/>
      <c r="RKT46" s="826"/>
      <c r="RKU46" s="1437"/>
      <c r="RKV46" s="1438"/>
      <c r="RKW46" s="198"/>
      <c r="RKX46" s="198"/>
      <c r="RKY46" s="198"/>
      <c r="RKZ46" s="198"/>
      <c r="RLA46" s="198"/>
      <c r="RLB46" s="198"/>
      <c r="RLC46" s="827"/>
      <c r="RLD46" s="198"/>
      <c r="RLE46" s="826"/>
      <c r="RLF46" s="1437"/>
      <c r="RLG46" s="1438"/>
      <c r="RLH46" s="198"/>
      <c r="RLI46" s="198"/>
      <c r="RLJ46" s="198"/>
      <c r="RLK46" s="198"/>
      <c r="RLL46" s="198"/>
      <c r="RLM46" s="198"/>
      <c r="RLN46" s="827"/>
      <c r="RLO46" s="198"/>
      <c r="RLP46" s="826"/>
      <c r="RLQ46" s="1437"/>
      <c r="RLR46" s="1438"/>
      <c r="RLS46" s="198"/>
      <c r="RLT46" s="198"/>
      <c r="RLU46" s="198"/>
      <c r="RLV46" s="198"/>
      <c r="RLW46" s="198"/>
      <c r="RLX46" s="198"/>
      <c r="RLY46" s="827"/>
      <c r="RLZ46" s="198"/>
      <c r="RMA46" s="826"/>
      <c r="RMB46" s="1437"/>
      <c r="RMC46" s="1438"/>
      <c r="RMD46" s="198"/>
      <c r="RME46" s="198"/>
      <c r="RMF46" s="198"/>
      <c r="RMG46" s="198"/>
      <c r="RMH46" s="198"/>
      <c r="RMI46" s="198"/>
      <c r="RMJ46" s="827"/>
      <c r="RMK46" s="198"/>
      <c r="RML46" s="826"/>
      <c r="RMM46" s="1437"/>
      <c r="RMN46" s="1438"/>
      <c r="RMO46" s="198"/>
      <c r="RMP46" s="198"/>
      <c r="RMQ46" s="198"/>
      <c r="RMR46" s="198"/>
      <c r="RMS46" s="198"/>
      <c r="RMT46" s="198"/>
      <c r="RMU46" s="827"/>
      <c r="RMV46" s="198"/>
      <c r="RMW46" s="826"/>
      <c r="RMX46" s="1437"/>
      <c r="RMY46" s="1438"/>
      <c r="RMZ46" s="198"/>
      <c r="RNA46" s="198"/>
      <c r="RNB46" s="198"/>
      <c r="RNC46" s="198"/>
      <c r="RND46" s="198"/>
      <c r="RNE46" s="198"/>
      <c r="RNF46" s="827"/>
      <c r="RNG46" s="198"/>
      <c r="RNH46" s="826"/>
      <c r="RNI46" s="1437"/>
      <c r="RNJ46" s="1438"/>
      <c r="RNK46" s="198"/>
      <c r="RNL46" s="198"/>
      <c r="RNM46" s="198"/>
      <c r="RNN46" s="198"/>
      <c r="RNO46" s="198"/>
      <c r="RNP46" s="198"/>
      <c r="RNQ46" s="827"/>
      <c r="RNR46" s="198"/>
      <c r="RNS46" s="826"/>
      <c r="RNT46" s="1437"/>
      <c r="RNU46" s="1438"/>
      <c r="RNV46" s="198"/>
      <c r="RNW46" s="198"/>
      <c r="RNX46" s="198"/>
      <c r="RNY46" s="198"/>
      <c r="RNZ46" s="198"/>
      <c r="ROA46" s="198"/>
      <c r="ROB46" s="827"/>
      <c r="ROC46" s="198"/>
      <c r="ROD46" s="826"/>
      <c r="ROE46" s="1437"/>
      <c r="ROF46" s="1438"/>
      <c r="ROG46" s="198"/>
      <c r="ROH46" s="198"/>
      <c r="ROI46" s="198"/>
      <c r="ROJ46" s="198"/>
      <c r="ROK46" s="198"/>
      <c r="ROL46" s="198"/>
      <c r="ROM46" s="827"/>
      <c r="RON46" s="198"/>
      <c r="ROO46" s="826"/>
      <c r="ROP46" s="1437"/>
      <c r="ROQ46" s="1438"/>
      <c r="ROR46" s="198"/>
      <c r="ROS46" s="198"/>
      <c r="ROT46" s="198"/>
      <c r="ROU46" s="198"/>
      <c r="ROV46" s="198"/>
      <c r="ROW46" s="198"/>
      <c r="ROX46" s="827"/>
      <c r="ROY46" s="198"/>
      <c r="ROZ46" s="826"/>
      <c r="RPA46" s="1437"/>
      <c r="RPB46" s="1438"/>
      <c r="RPC46" s="198"/>
      <c r="RPD46" s="198"/>
      <c r="RPE46" s="198"/>
      <c r="RPF46" s="198"/>
      <c r="RPG46" s="198"/>
      <c r="RPH46" s="198"/>
      <c r="RPI46" s="827"/>
      <c r="RPJ46" s="198"/>
      <c r="RPK46" s="826"/>
      <c r="RPL46" s="1437"/>
      <c r="RPM46" s="1438"/>
      <c r="RPN46" s="198"/>
      <c r="RPO46" s="198"/>
      <c r="RPP46" s="198"/>
      <c r="RPQ46" s="198"/>
      <c r="RPR46" s="198"/>
      <c r="RPS46" s="198"/>
      <c r="RPT46" s="827"/>
      <c r="RPU46" s="198"/>
      <c r="RPV46" s="826"/>
      <c r="RPW46" s="1437"/>
      <c r="RPX46" s="1438"/>
      <c r="RPY46" s="198"/>
      <c r="RPZ46" s="198"/>
      <c r="RQA46" s="198"/>
      <c r="RQB46" s="198"/>
      <c r="RQC46" s="198"/>
      <c r="RQD46" s="198"/>
      <c r="RQE46" s="827"/>
      <c r="RQF46" s="198"/>
      <c r="RQG46" s="826"/>
      <c r="RQH46" s="1437"/>
      <c r="RQI46" s="1438"/>
      <c r="RQJ46" s="198"/>
      <c r="RQK46" s="198"/>
      <c r="RQL46" s="198"/>
      <c r="RQM46" s="198"/>
      <c r="RQN46" s="198"/>
      <c r="RQO46" s="198"/>
      <c r="RQP46" s="827"/>
      <c r="RQQ46" s="198"/>
      <c r="RQR46" s="826"/>
      <c r="RQS46" s="1437"/>
      <c r="RQT46" s="1438"/>
      <c r="RQU46" s="198"/>
      <c r="RQV46" s="198"/>
      <c r="RQW46" s="198"/>
      <c r="RQX46" s="198"/>
      <c r="RQY46" s="198"/>
      <c r="RQZ46" s="198"/>
      <c r="RRA46" s="827"/>
      <c r="RRB46" s="198"/>
      <c r="RRC46" s="826"/>
      <c r="RRD46" s="1437"/>
      <c r="RRE46" s="1438"/>
      <c r="RRF46" s="198"/>
      <c r="RRG46" s="198"/>
      <c r="RRH46" s="198"/>
      <c r="RRI46" s="198"/>
      <c r="RRJ46" s="198"/>
      <c r="RRK46" s="198"/>
      <c r="RRL46" s="827"/>
      <c r="RRM46" s="198"/>
      <c r="RRN46" s="826"/>
      <c r="RRO46" s="1437"/>
      <c r="RRP46" s="1438"/>
      <c r="RRQ46" s="198"/>
      <c r="RRR46" s="198"/>
      <c r="RRS46" s="198"/>
      <c r="RRT46" s="198"/>
      <c r="RRU46" s="198"/>
      <c r="RRV46" s="198"/>
      <c r="RRW46" s="827"/>
      <c r="RRX46" s="198"/>
      <c r="RRY46" s="826"/>
      <c r="RRZ46" s="1437"/>
      <c r="RSA46" s="1438"/>
      <c r="RSB46" s="198"/>
      <c r="RSC46" s="198"/>
      <c r="RSD46" s="198"/>
      <c r="RSE46" s="198"/>
      <c r="RSF46" s="198"/>
      <c r="RSG46" s="198"/>
      <c r="RSH46" s="827"/>
      <c r="RSI46" s="198"/>
      <c r="RSJ46" s="826"/>
      <c r="RSK46" s="1437"/>
      <c r="RSL46" s="1438"/>
      <c r="RSM46" s="198"/>
      <c r="RSN46" s="198"/>
      <c r="RSO46" s="198"/>
      <c r="RSP46" s="198"/>
      <c r="RSQ46" s="198"/>
      <c r="RSR46" s="198"/>
      <c r="RSS46" s="827"/>
      <c r="RST46" s="198"/>
      <c r="RSU46" s="826"/>
      <c r="RSV46" s="1437"/>
      <c r="RSW46" s="1438"/>
      <c r="RSX46" s="198"/>
      <c r="RSY46" s="198"/>
      <c r="RSZ46" s="198"/>
      <c r="RTA46" s="198"/>
      <c r="RTB46" s="198"/>
      <c r="RTC46" s="198"/>
      <c r="RTD46" s="827"/>
      <c r="RTE46" s="198"/>
      <c r="RTF46" s="826"/>
      <c r="RTG46" s="1437"/>
      <c r="RTH46" s="1438"/>
      <c r="RTI46" s="198"/>
      <c r="RTJ46" s="198"/>
      <c r="RTK46" s="198"/>
      <c r="RTL46" s="198"/>
      <c r="RTM46" s="198"/>
      <c r="RTN46" s="198"/>
      <c r="RTO46" s="827"/>
      <c r="RTP46" s="198"/>
      <c r="RTQ46" s="826"/>
      <c r="RTR46" s="1437"/>
      <c r="RTS46" s="1438"/>
      <c r="RTT46" s="198"/>
      <c r="RTU46" s="198"/>
      <c r="RTV46" s="198"/>
      <c r="RTW46" s="198"/>
      <c r="RTX46" s="198"/>
      <c r="RTY46" s="198"/>
      <c r="RTZ46" s="827"/>
      <c r="RUA46" s="198"/>
      <c r="RUB46" s="826"/>
      <c r="RUC46" s="1437"/>
      <c r="RUD46" s="1438"/>
      <c r="RUE46" s="198"/>
      <c r="RUF46" s="198"/>
      <c r="RUG46" s="198"/>
      <c r="RUH46" s="198"/>
      <c r="RUI46" s="198"/>
      <c r="RUJ46" s="198"/>
      <c r="RUK46" s="827"/>
      <c r="RUL46" s="198"/>
      <c r="RUM46" s="826"/>
      <c r="RUN46" s="1437"/>
      <c r="RUO46" s="1438"/>
      <c r="RUP46" s="198"/>
      <c r="RUQ46" s="198"/>
      <c r="RUR46" s="198"/>
      <c r="RUS46" s="198"/>
      <c r="RUT46" s="198"/>
      <c r="RUU46" s="198"/>
      <c r="RUV46" s="827"/>
      <c r="RUW46" s="198"/>
      <c r="RUX46" s="826"/>
      <c r="RUY46" s="1437"/>
      <c r="RUZ46" s="1438"/>
      <c r="RVA46" s="198"/>
      <c r="RVB46" s="198"/>
      <c r="RVC46" s="198"/>
      <c r="RVD46" s="198"/>
      <c r="RVE46" s="198"/>
      <c r="RVF46" s="198"/>
      <c r="RVG46" s="827"/>
      <c r="RVH46" s="198"/>
      <c r="RVI46" s="826"/>
      <c r="RVJ46" s="1437"/>
      <c r="RVK46" s="1438"/>
      <c r="RVL46" s="198"/>
      <c r="RVM46" s="198"/>
      <c r="RVN46" s="198"/>
      <c r="RVO46" s="198"/>
      <c r="RVP46" s="198"/>
      <c r="RVQ46" s="198"/>
      <c r="RVR46" s="827"/>
      <c r="RVS46" s="198"/>
      <c r="RVT46" s="826"/>
      <c r="RVU46" s="1437"/>
      <c r="RVV46" s="1438"/>
      <c r="RVW46" s="198"/>
      <c r="RVX46" s="198"/>
      <c r="RVY46" s="198"/>
      <c r="RVZ46" s="198"/>
      <c r="RWA46" s="198"/>
      <c r="RWB46" s="198"/>
      <c r="RWC46" s="827"/>
      <c r="RWD46" s="198"/>
      <c r="RWE46" s="826"/>
      <c r="RWF46" s="1437"/>
      <c r="RWG46" s="1438"/>
      <c r="RWH46" s="198"/>
      <c r="RWI46" s="198"/>
      <c r="RWJ46" s="198"/>
      <c r="RWK46" s="198"/>
      <c r="RWL46" s="198"/>
      <c r="RWM46" s="198"/>
      <c r="RWN46" s="827"/>
      <c r="RWO46" s="198"/>
      <c r="RWP46" s="826"/>
      <c r="RWQ46" s="1437"/>
      <c r="RWR46" s="1438"/>
      <c r="RWS46" s="198"/>
      <c r="RWT46" s="198"/>
      <c r="RWU46" s="198"/>
      <c r="RWV46" s="198"/>
      <c r="RWW46" s="198"/>
      <c r="RWX46" s="198"/>
      <c r="RWY46" s="827"/>
      <c r="RWZ46" s="198"/>
      <c r="RXA46" s="826"/>
      <c r="RXB46" s="1437"/>
      <c r="RXC46" s="1438"/>
      <c r="RXD46" s="198"/>
      <c r="RXE46" s="198"/>
      <c r="RXF46" s="198"/>
      <c r="RXG46" s="198"/>
      <c r="RXH46" s="198"/>
      <c r="RXI46" s="198"/>
      <c r="RXJ46" s="827"/>
      <c r="RXK46" s="198"/>
      <c r="RXL46" s="826"/>
      <c r="RXM46" s="1437"/>
      <c r="RXN46" s="1438"/>
      <c r="RXO46" s="198"/>
      <c r="RXP46" s="198"/>
      <c r="RXQ46" s="198"/>
      <c r="RXR46" s="198"/>
      <c r="RXS46" s="198"/>
      <c r="RXT46" s="198"/>
      <c r="RXU46" s="827"/>
      <c r="RXV46" s="198"/>
      <c r="RXW46" s="826"/>
      <c r="RXX46" s="1437"/>
      <c r="RXY46" s="1438"/>
      <c r="RXZ46" s="198"/>
      <c r="RYA46" s="198"/>
      <c r="RYB46" s="198"/>
      <c r="RYC46" s="198"/>
      <c r="RYD46" s="198"/>
      <c r="RYE46" s="198"/>
      <c r="RYF46" s="827"/>
      <c r="RYG46" s="198"/>
      <c r="RYH46" s="826"/>
      <c r="RYI46" s="1437"/>
      <c r="RYJ46" s="1438"/>
      <c r="RYK46" s="198"/>
      <c r="RYL46" s="198"/>
      <c r="RYM46" s="198"/>
      <c r="RYN46" s="198"/>
      <c r="RYO46" s="198"/>
      <c r="RYP46" s="198"/>
      <c r="RYQ46" s="827"/>
      <c r="RYR46" s="198"/>
      <c r="RYS46" s="826"/>
      <c r="RYT46" s="1437"/>
      <c r="RYU46" s="1438"/>
      <c r="RYV46" s="198"/>
      <c r="RYW46" s="198"/>
      <c r="RYX46" s="198"/>
      <c r="RYY46" s="198"/>
      <c r="RYZ46" s="198"/>
      <c r="RZA46" s="198"/>
      <c r="RZB46" s="827"/>
      <c r="RZC46" s="198"/>
      <c r="RZD46" s="826"/>
      <c r="RZE46" s="1437"/>
      <c r="RZF46" s="1438"/>
      <c r="RZG46" s="198"/>
      <c r="RZH46" s="198"/>
      <c r="RZI46" s="198"/>
      <c r="RZJ46" s="198"/>
      <c r="RZK46" s="198"/>
      <c r="RZL46" s="198"/>
      <c r="RZM46" s="827"/>
      <c r="RZN46" s="198"/>
      <c r="RZO46" s="826"/>
      <c r="RZP46" s="1437"/>
      <c r="RZQ46" s="1438"/>
      <c r="RZR46" s="198"/>
      <c r="RZS46" s="198"/>
      <c r="RZT46" s="198"/>
      <c r="RZU46" s="198"/>
      <c r="RZV46" s="198"/>
      <c r="RZW46" s="198"/>
      <c r="RZX46" s="827"/>
      <c r="RZY46" s="198"/>
      <c r="RZZ46" s="826"/>
      <c r="SAA46" s="1437"/>
      <c r="SAB46" s="1438"/>
      <c r="SAC46" s="198"/>
      <c r="SAD46" s="198"/>
      <c r="SAE46" s="198"/>
      <c r="SAF46" s="198"/>
      <c r="SAG46" s="198"/>
      <c r="SAH46" s="198"/>
      <c r="SAI46" s="827"/>
      <c r="SAJ46" s="198"/>
      <c r="SAK46" s="826"/>
      <c r="SAL46" s="1437"/>
      <c r="SAM46" s="1438"/>
      <c r="SAN46" s="198"/>
      <c r="SAO46" s="198"/>
      <c r="SAP46" s="198"/>
      <c r="SAQ46" s="198"/>
      <c r="SAR46" s="198"/>
      <c r="SAS46" s="198"/>
      <c r="SAT46" s="827"/>
      <c r="SAU46" s="198"/>
      <c r="SAV46" s="826"/>
      <c r="SAW46" s="1437"/>
      <c r="SAX46" s="1438"/>
      <c r="SAY46" s="198"/>
      <c r="SAZ46" s="198"/>
      <c r="SBA46" s="198"/>
      <c r="SBB46" s="198"/>
      <c r="SBC46" s="198"/>
      <c r="SBD46" s="198"/>
      <c r="SBE46" s="827"/>
      <c r="SBF46" s="198"/>
      <c r="SBG46" s="826"/>
      <c r="SBH46" s="1437"/>
      <c r="SBI46" s="1438"/>
      <c r="SBJ46" s="198"/>
      <c r="SBK46" s="198"/>
      <c r="SBL46" s="198"/>
      <c r="SBM46" s="198"/>
      <c r="SBN46" s="198"/>
      <c r="SBO46" s="198"/>
      <c r="SBP46" s="827"/>
      <c r="SBQ46" s="198"/>
      <c r="SBR46" s="826"/>
      <c r="SBS46" s="1437"/>
      <c r="SBT46" s="1438"/>
      <c r="SBU46" s="198"/>
      <c r="SBV46" s="198"/>
      <c r="SBW46" s="198"/>
      <c r="SBX46" s="198"/>
      <c r="SBY46" s="198"/>
      <c r="SBZ46" s="198"/>
      <c r="SCA46" s="827"/>
      <c r="SCB46" s="198"/>
      <c r="SCC46" s="826"/>
      <c r="SCD46" s="1437"/>
      <c r="SCE46" s="1438"/>
      <c r="SCF46" s="198"/>
      <c r="SCG46" s="198"/>
      <c r="SCH46" s="198"/>
      <c r="SCI46" s="198"/>
      <c r="SCJ46" s="198"/>
      <c r="SCK46" s="198"/>
      <c r="SCL46" s="827"/>
      <c r="SCM46" s="198"/>
      <c r="SCN46" s="826"/>
      <c r="SCO46" s="1437"/>
      <c r="SCP46" s="1438"/>
      <c r="SCQ46" s="198"/>
      <c r="SCR46" s="198"/>
      <c r="SCS46" s="198"/>
      <c r="SCT46" s="198"/>
      <c r="SCU46" s="198"/>
      <c r="SCV46" s="198"/>
      <c r="SCW46" s="827"/>
      <c r="SCX46" s="198"/>
      <c r="SCY46" s="826"/>
      <c r="SCZ46" s="1437"/>
      <c r="SDA46" s="1438"/>
      <c r="SDB46" s="198"/>
      <c r="SDC46" s="198"/>
      <c r="SDD46" s="198"/>
      <c r="SDE46" s="198"/>
      <c r="SDF46" s="198"/>
      <c r="SDG46" s="198"/>
      <c r="SDH46" s="827"/>
      <c r="SDI46" s="198"/>
      <c r="SDJ46" s="826"/>
      <c r="SDK46" s="1437"/>
      <c r="SDL46" s="1438"/>
      <c r="SDM46" s="198"/>
      <c r="SDN46" s="198"/>
      <c r="SDO46" s="198"/>
      <c r="SDP46" s="198"/>
      <c r="SDQ46" s="198"/>
      <c r="SDR46" s="198"/>
      <c r="SDS46" s="827"/>
      <c r="SDT46" s="198"/>
      <c r="SDU46" s="826"/>
      <c r="SDV46" s="1437"/>
      <c r="SDW46" s="1438"/>
      <c r="SDX46" s="198"/>
      <c r="SDY46" s="198"/>
      <c r="SDZ46" s="198"/>
      <c r="SEA46" s="198"/>
      <c r="SEB46" s="198"/>
      <c r="SEC46" s="198"/>
      <c r="SED46" s="827"/>
      <c r="SEE46" s="198"/>
      <c r="SEF46" s="826"/>
      <c r="SEG46" s="1437"/>
      <c r="SEH46" s="1438"/>
      <c r="SEI46" s="198"/>
      <c r="SEJ46" s="198"/>
      <c r="SEK46" s="198"/>
      <c r="SEL46" s="198"/>
      <c r="SEM46" s="198"/>
      <c r="SEN46" s="198"/>
      <c r="SEO46" s="827"/>
      <c r="SEP46" s="198"/>
      <c r="SEQ46" s="826"/>
      <c r="SER46" s="1437"/>
      <c r="SES46" s="1438"/>
      <c r="SET46" s="198"/>
      <c r="SEU46" s="198"/>
      <c r="SEV46" s="198"/>
      <c r="SEW46" s="198"/>
      <c r="SEX46" s="198"/>
      <c r="SEY46" s="198"/>
      <c r="SEZ46" s="827"/>
      <c r="SFA46" s="198"/>
      <c r="SFB46" s="826"/>
      <c r="SFC46" s="1437"/>
      <c r="SFD46" s="1438"/>
      <c r="SFE46" s="198"/>
      <c r="SFF46" s="198"/>
      <c r="SFG46" s="198"/>
      <c r="SFH46" s="198"/>
      <c r="SFI46" s="198"/>
      <c r="SFJ46" s="198"/>
      <c r="SFK46" s="827"/>
      <c r="SFL46" s="198"/>
      <c r="SFM46" s="826"/>
      <c r="SFN46" s="1437"/>
      <c r="SFO46" s="1438"/>
      <c r="SFP46" s="198"/>
      <c r="SFQ46" s="198"/>
      <c r="SFR46" s="198"/>
      <c r="SFS46" s="198"/>
      <c r="SFT46" s="198"/>
      <c r="SFU46" s="198"/>
      <c r="SFV46" s="827"/>
      <c r="SFW46" s="198"/>
      <c r="SFX46" s="826"/>
      <c r="SFY46" s="1437"/>
      <c r="SFZ46" s="1438"/>
      <c r="SGA46" s="198"/>
      <c r="SGB46" s="198"/>
      <c r="SGC46" s="198"/>
      <c r="SGD46" s="198"/>
      <c r="SGE46" s="198"/>
      <c r="SGF46" s="198"/>
      <c r="SGG46" s="827"/>
      <c r="SGH46" s="198"/>
      <c r="SGI46" s="826"/>
      <c r="SGJ46" s="1437"/>
      <c r="SGK46" s="1438"/>
      <c r="SGL46" s="198"/>
      <c r="SGM46" s="198"/>
      <c r="SGN46" s="198"/>
      <c r="SGO46" s="198"/>
      <c r="SGP46" s="198"/>
      <c r="SGQ46" s="198"/>
      <c r="SGR46" s="827"/>
      <c r="SGS46" s="198"/>
      <c r="SGT46" s="826"/>
      <c r="SGU46" s="1437"/>
      <c r="SGV46" s="1438"/>
      <c r="SGW46" s="198"/>
      <c r="SGX46" s="198"/>
      <c r="SGY46" s="198"/>
      <c r="SGZ46" s="198"/>
      <c r="SHA46" s="198"/>
      <c r="SHB46" s="198"/>
      <c r="SHC46" s="827"/>
      <c r="SHD46" s="198"/>
      <c r="SHE46" s="826"/>
      <c r="SHF46" s="1437"/>
      <c r="SHG46" s="1438"/>
      <c r="SHH46" s="198"/>
      <c r="SHI46" s="198"/>
      <c r="SHJ46" s="198"/>
      <c r="SHK46" s="198"/>
      <c r="SHL46" s="198"/>
      <c r="SHM46" s="198"/>
      <c r="SHN46" s="827"/>
      <c r="SHO46" s="198"/>
      <c r="SHP46" s="826"/>
      <c r="SHQ46" s="1437"/>
      <c r="SHR46" s="1438"/>
      <c r="SHS46" s="198"/>
      <c r="SHT46" s="198"/>
      <c r="SHU46" s="198"/>
      <c r="SHV46" s="198"/>
      <c r="SHW46" s="198"/>
      <c r="SHX46" s="198"/>
      <c r="SHY46" s="827"/>
      <c r="SHZ46" s="198"/>
      <c r="SIA46" s="826"/>
      <c r="SIB46" s="1437"/>
      <c r="SIC46" s="1438"/>
      <c r="SID46" s="198"/>
      <c r="SIE46" s="198"/>
      <c r="SIF46" s="198"/>
      <c r="SIG46" s="198"/>
      <c r="SIH46" s="198"/>
      <c r="SII46" s="198"/>
      <c r="SIJ46" s="827"/>
      <c r="SIK46" s="198"/>
      <c r="SIL46" s="826"/>
      <c r="SIM46" s="1437"/>
      <c r="SIN46" s="1438"/>
      <c r="SIO46" s="198"/>
      <c r="SIP46" s="198"/>
      <c r="SIQ46" s="198"/>
      <c r="SIR46" s="198"/>
      <c r="SIS46" s="198"/>
      <c r="SIT46" s="198"/>
      <c r="SIU46" s="827"/>
      <c r="SIV46" s="198"/>
      <c r="SIW46" s="826"/>
      <c r="SIX46" s="1437"/>
      <c r="SIY46" s="1438"/>
      <c r="SIZ46" s="198"/>
      <c r="SJA46" s="198"/>
      <c r="SJB46" s="198"/>
      <c r="SJC46" s="198"/>
      <c r="SJD46" s="198"/>
      <c r="SJE46" s="198"/>
      <c r="SJF46" s="827"/>
      <c r="SJG46" s="198"/>
      <c r="SJH46" s="826"/>
      <c r="SJI46" s="1437"/>
      <c r="SJJ46" s="1438"/>
      <c r="SJK46" s="198"/>
      <c r="SJL46" s="198"/>
      <c r="SJM46" s="198"/>
      <c r="SJN46" s="198"/>
      <c r="SJO46" s="198"/>
      <c r="SJP46" s="198"/>
      <c r="SJQ46" s="827"/>
      <c r="SJR46" s="198"/>
      <c r="SJS46" s="826"/>
      <c r="SJT46" s="1437"/>
      <c r="SJU46" s="1438"/>
      <c r="SJV46" s="198"/>
      <c r="SJW46" s="198"/>
      <c r="SJX46" s="198"/>
      <c r="SJY46" s="198"/>
      <c r="SJZ46" s="198"/>
      <c r="SKA46" s="198"/>
      <c r="SKB46" s="827"/>
      <c r="SKC46" s="198"/>
      <c r="SKD46" s="826"/>
      <c r="SKE46" s="1437"/>
      <c r="SKF46" s="1438"/>
      <c r="SKG46" s="198"/>
      <c r="SKH46" s="198"/>
      <c r="SKI46" s="198"/>
      <c r="SKJ46" s="198"/>
      <c r="SKK46" s="198"/>
      <c r="SKL46" s="198"/>
      <c r="SKM46" s="827"/>
      <c r="SKN46" s="198"/>
      <c r="SKO46" s="826"/>
      <c r="SKP46" s="1437"/>
      <c r="SKQ46" s="1438"/>
      <c r="SKR46" s="198"/>
      <c r="SKS46" s="198"/>
      <c r="SKT46" s="198"/>
      <c r="SKU46" s="198"/>
      <c r="SKV46" s="198"/>
      <c r="SKW46" s="198"/>
      <c r="SKX46" s="827"/>
      <c r="SKY46" s="198"/>
      <c r="SKZ46" s="826"/>
      <c r="SLA46" s="1437"/>
      <c r="SLB46" s="1438"/>
      <c r="SLC46" s="198"/>
      <c r="SLD46" s="198"/>
      <c r="SLE46" s="198"/>
      <c r="SLF46" s="198"/>
      <c r="SLG46" s="198"/>
      <c r="SLH46" s="198"/>
      <c r="SLI46" s="827"/>
      <c r="SLJ46" s="198"/>
      <c r="SLK46" s="826"/>
      <c r="SLL46" s="1437"/>
      <c r="SLM46" s="1438"/>
      <c r="SLN46" s="198"/>
      <c r="SLO46" s="198"/>
      <c r="SLP46" s="198"/>
      <c r="SLQ46" s="198"/>
      <c r="SLR46" s="198"/>
      <c r="SLS46" s="198"/>
      <c r="SLT46" s="827"/>
      <c r="SLU46" s="198"/>
      <c r="SLV46" s="826"/>
      <c r="SLW46" s="1437"/>
      <c r="SLX46" s="1438"/>
      <c r="SLY46" s="198"/>
      <c r="SLZ46" s="198"/>
      <c r="SMA46" s="198"/>
      <c r="SMB46" s="198"/>
      <c r="SMC46" s="198"/>
      <c r="SMD46" s="198"/>
      <c r="SME46" s="827"/>
      <c r="SMF46" s="198"/>
      <c r="SMG46" s="826"/>
      <c r="SMH46" s="1437"/>
      <c r="SMI46" s="1438"/>
      <c r="SMJ46" s="198"/>
      <c r="SMK46" s="198"/>
      <c r="SML46" s="198"/>
      <c r="SMM46" s="198"/>
      <c r="SMN46" s="198"/>
      <c r="SMO46" s="198"/>
      <c r="SMP46" s="827"/>
      <c r="SMQ46" s="198"/>
      <c r="SMR46" s="826"/>
      <c r="SMS46" s="1437"/>
      <c r="SMT46" s="1438"/>
      <c r="SMU46" s="198"/>
      <c r="SMV46" s="198"/>
      <c r="SMW46" s="198"/>
      <c r="SMX46" s="198"/>
      <c r="SMY46" s="198"/>
      <c r="SMZ46" s="198"/>
      <c r="SNA46" s="827"/>
      <c r="SNB46" s="198"/>
      <c r="SNC46" s="826"/>
      <c r="SND46" s="1437"/>
      <c r="SNE46" s="1438"/>
      <c r="SNF46" s="198"/>
      <c r="SNG46" s="198"/>
      <c r="SNH46" s="198"/>
      <c r="SNI46" s="198"/>
      <c r="SNJ46" s="198"/>
      <c r="SNK46" s="198"/>
      <c r="SNL46" s="827"/>
      <c r="SNM46" s="198"/>
      <c r="SNN46" s="826"/>
      <c r="SNO46" s="1437"/>
      <c r="SNP46" s="1438"/>
      <c r="SNQ46" s="198"/>
      <c r="SNR46" s="198"/>
      <c r="SNS46" s="198"/>
      <c r="SNT46" s="198"/>
      <c r="SNU46" s="198"/>
      <c r="SNV46" s="198"/>
      <c r="SNW46" s="827"/>
      <c r="SNX46" s="198"/>
      <c r="SNY46" s="826"/>
      <c r="SNZ46" s="1437"/>
      <c r="SOA46" s="1438"/>
      <c r="SOB46" s="198"/>
      <c r="SOC46" s="198"/>
      <c r="SOD46" s="198"/>
      <c r="SOE46" s="198"/>
      <c r="SOF46" s="198"/>
      <c r="SOG46" s="198"/>
      <c r="SOH46" s="827"/>
      <c r="SOI46" s="198"/>
      <c r="SOJ46" s="826"/>
      <c r="SOK46" s="1437"/>
      <c r="SOL46" s="1438"/>
      <c r="SOM46" s="198"/>
      <c r="SON46" s="198"/>
      <c r="SOO46" s="198"/>
      <c r="SOP46" s="198"/>
      <c r="SOQ46" s="198"/>
      <c r="SOR46" s="198"/>
      <c r="SOS46" s="827"/>
      <c r="SOT46" s="198"/>
      <c r="SOU46" s="826"/>
      <c r="SOV46" s="1437"/>
      <c r="SOW46" s="1438"/>
      <c r="SOX46" s="198"/>
      <c r="SOY46" s="198"/>
      <c r="SOZ46" s="198"/>
      <c r="SPA46" s="198"/>
      <c r="SPB46" s="198"/>
      <c r="SPC46" s="198"/>
      <c r="SPD46" s="827"/>
      <c r="SPE46" s="198"/>
      <c r="SPF46" s="826"/>
      <c r="SPG46" s="1437"/>
      <c r="SPH46" s="1438"/>
      <c r="SPI46" s="198"/>
      <c r="SPJ46" s="198"/>
      <c r="SPK46" s="198"/>
      <c r="SPL46" s="198"/>
      <c r="SPM46" s="198"/>
      <c r="SPN46" s="198"/>
      <c r="SPO46" s="827"/>
      <c r="SPP46" s="198"/>
      <c r="SPQ46" s="826"/>
      <c r="SPR46" s="1437"/>
      <c r="SPS46" s="1438"/>
      <c r="SPT46" s="198"/>
      <c r="SPU46" s="198"/>
      <c r="SPV46" s="198"/>
      <c r="SPW46" s="198"/>
      <c r="SPX46" s="198"/>
      <c r="SPY46" s="198"/>
      <c r="SPZ46" s="827"/>
      <c r="SQA46" s="198"/>
      <c r="SQB46" s="826"/>
      <c r="SQC46" s="1437"/>
      <c r="SQD46" s="1438"/>
      <c r="SQE46" s="198"/>
      <c r="SQF46" s="198"/>
      <c r="SQG46" s="198"/>
      <c r="SQH46" s="198"/>
      <c r="SQI46" s="198"/>
      <c r="SQJ46" s="198"/>
      <c r="SQK46" s="827"/>
      <c r="SQL46" s="198"/>
      <c r="SQM46" s="826"/>
      <c r="SQN46" s="1437"/>
      <c r="SQO46" s="1438"/>
      <c r="SQP46" s="198"/>
      <c r="SQQ46" s="198"/>
      <c r="SQR46" s="198"/>
      <c r="SQS46" s="198"/>
      <c r="SQT46" s="198"/>
      <c r="SQU46" s="198"/>
      <c r="SQV46" s="827"/>
      <c r="SQW46" s="198"/>
      <c r="SQX46" s="826"/>
      <c r="SQY46" s="1437"/>
      <c r="SQZ46" s="1438"/>
      <c r="SRA46" s="198"/>
      <c r="SRB46" s="198"/>
      <c r="SRC46" s="198"/>
      <c r="SRD46" s="198"/>
      <c r="SRE46" s="198"/>
      <c r="SRF46" s="198"/>
      <c r="SRG46" s="827"/>
      <c r="SRH46" s="198"/>
      <c r="SRI46" s="826"/>
      <c r="SRJ46" s="1437"/>
      <c r="SRK46" s="1438"/>
      <c r="SRL46" s="198"/>
      <c r="SRM46" s="198"/>
      <c r="SRN46" s="198"/>
      <c r="SRO46" s="198"/>
      <c r="SRP46" s="198"/>
      <c r="SRQ46" s="198"/>
      <c r="SRR46" s="827"/>
      <c r="SRS46" s="198"/>
      <c r="SRT46" s="826"/>
      <c r="SRU46" s="1437"/>
      <c r="SRV46" s="1438"/>
      <c r="SRW46" s="198"/>
      <c r="SRX46" s="198"/>
      <c r="SRY46" s="198"/>
      <c r="SRZ46" s="198"/>
      <c r="SSA46" s="198"/>
      <c r="SSB46" s="198"/>
      <c r="SSC46" s="827"/>
      <c r="SSD46" s="198"/>
      <c r="SSE46" s="826"/>
      <c r="SSF46" s="1437"/>
      <c r="SSG46" s="1438"/>
      <c r="SSH46" s="198"/>
      <c r="SSI46" s="198"/>
      <c r="SSJ46" s="198"/>
      <c r="SSK46" s="198"/>
      <c r="SSL46" s="198"/>
      <c r="SSM46" s="198"/>
      <c r="SSN46" s="827"/>
      <c r="SSO46" s="198"/>
      <c r="SSP46" s="826"/>
      <c r="SSQ46" s="1437"/>
      <c r="SSR46" s="1438"/>
      <c r="SSS46" s="198"/>
      <c r="SST46" s="198"/>
      <c r="SSU46" s="198"/>
      <c r="SSV46" s="198"/>
      <c r="SSW46" s="198"/>
      <c r="SSX46" s="198"/>
      <c r="SSY46" s="827"/>
      <c r="SSZ46" s="198"/>
      <c r="STA46" s="826"/>
      <c r="STB46" s="1437"/>
      <c r="STC46" s="1438"/>
      <c r="STD46" s="198"/>
      <c r="STE46" s="198"/>
      <c r="STF46" s="198"/>
      <c r="STG46" s="198"/>
      <c r="STH46" s="198"/>
      <c r="STI46" s="198"/>
      <c r="STJ46" s="827"/>
      <c r="STK46" s="198"/>
      <c r="STL46" s="826"/>
      <c r="STM46" s="1437"/>
      <c r="STN46" s="1438"/>
      <c r="STO46" s="198"/>
      <c r="STP46" s="198"/>
      <c r="STQ46" s="198"/>
      <c r="STR46" s="198"/>
      <c r="STS46" s="198"/>
      <c r="STT46" s="198"/>
      <c r="STU46" s="827"/>
      <c r="STV46" s="198"/>
      <c r="STW46" s="826"/>
      <c r="STX46" s="1437"/>
      <c r="STY46" s="1438"/>
      <c r="STZ46" s="198"/>
      <c r="SUA46" s="198"/>
      <c r="SUB46" s="198"/>
      <c r="SUC46" s="198"/>
      <c r="SUD46" s="198"/>
      <c r="SUE46" s="198"/>
      <c r="SUF46" s="827"/>
      <c r="SUG46" s="198"/>
      <c r="SUH46" s="826"/>
      <c r="SUI46" s="1437"/>
      <c r="SUJ46" s="1438"/>
      <c r="SUK46" s="198"/>
      <c r="SUL46" s="198"/>
      <c r="SUM46" s="198"/>
      <c r="SUN46" s="198"/>
      <c r="SUO46" s="198"/>
      <c r="SUP46" s="198"/>
      <c r="SUQ46" s="827"/>
      <c r="SUR46" s="198"/>
      <c r="SUS46" s="826"/>
      <c r="SUT46" s="1437"/>
      <c r="SUU46" s="1438"/>
      <c r="SUV46" s="198"/>
      <c r="SUW46" s="198"/>
      <c r="SUX46" s="198"/>
      <c r="SUY46" s="198"/>
      <c r="SUZ46" s="198"/>
      <c r="SVA46" s="198"/>
      <c r="SVB46" s="827"/>
      <c r="SVC46" s="198"/>
      <c r="SVD46" s="826"/>
      <c r="SVE46" s="1437"/>
      <c r="SVF46" s="1438"/>
      <c r="SVG46" s="198"/>
      <c r="SVH46" s="198"/>
      <c r="SVI46" s="198"/>
      <c r="SVJ46" s="198"/>
      <c r="SVK46" s="198"/>
      <c r="SVL46" s="198"/>
      <c r="SVM46" s="827"/>
      <c r="SVN46" s="198"/>
      <c r="SVO46" s="826"/>
      <c r="SVP46" s="1437"/>
      <c r="SVQ46" s="1438"/>
      <c r="SVR46" s="198"/>
      <c r="SVS46" s="198"/>
      <c r="SVT46" s="198"/>
      <c r="SVU46" s="198"/>
      <c r="SVV46" s="198"/>
      <c r="SVW46" s="198"/>
      <c r="SVX46" s="827"/>
      <c r="SVY46" s="198"/>
      <c r="SVZ46" s="826"/>
      <c r="SWA46" s="1437"/>
      <c r="SWB46" s="1438"/>
      <c r="SWC46" s="198"/>
      <c r="SWD46" s="198"/>
      <c r="SWE46" s="198"/>
      <c r="SWF46" s="198"/>
      <c r="SWG46" s="198"/>
      <c r="SWH46" s="198"/>
      <c r="SWI46" s="827"/>
      <c r="SWJ46" s="198"/>
      <c r="SWK46" s="826"/>
      <c r="SWL46" s="1437"/>
      <c r="SWM46" s="1438"/>
      <c r="SWN46" s="198"/>
      <c r="SWO46" s="198"/>
      <c r="SWP46" s="198"/>
      <c r="SWQ46" s="198"/>
      <c r="SWR46" s="198"/>
      <c r="SWS46" s="198"/>
      <c r="SWT46" s="827"/>
      <c r="SWU46" s="198"/>
      <c r="SWV46" s="826"/>
      <c r="SWW46" s="1437"/>
      <c r="SWX46" s="1438"/>
      <c r="SWY46" s="198"/>
      <c r="SWZ46" s="198"/>
      <c r="SXA46" s="198"/>
      <c r="SXB46" s="198"/>
      <c r="SXC46" s="198"/>
      <c r="SXD46" s="198"/>
      <c r="SXE46" s="827"/>
      <c r="SXF46" s="198"/>
      <c r="SXG46" s="826"/>
      <c r="SXH46" s="1437"/>
      <c r="SXI46" s="1438"/>
      <c r="SXJ46" s="198"/>
      <c r="SXK46" s="198"/>
      <c r="SXL46" s="198"/>
      <c r="SXM46" s="198"/>
      <c r="SXN46" s="198"/>
      <c r="SXO46" s="198"/>
      <c r="SXP46" s="827"/>
      <c r="SXQ46" s="198"/>
      <c r="SXR46" s="826"/>
      <c r="SXS46" s="1437"/>
      <c r="SXT46" s="1438"/>
      <c r="SXU46" s="198"/>
      <c r="SXV46" s="198"/>
      <c r="SXW46" s="198"/>
      <c r="SXX46" s="198"/>
      <c r="SXY46" s="198"/>
      <c r="SXZ46" s="198"/>
      <c r="SYA46" s="827"/>
      <c r="SYB46" s="198"/>
      <c r="SYC46" s="826"/>
      <c r="SYD46" s="1437"/>
      <c r="SYE46" s="1438"/>
      <c r="SYF46" s="198"/>
      <c r="SYG46" s="198"/>
      <c r="SYH46" s="198"/>
      <c r="SYI46" s="198"/>
      <c r="SYJ46" s="198"/>
      <c r="SYK46" s="198"/>
      <c r="SYL46" s="827"/>
      <c r="SYM46" s="198"/>
      <c r="SYN46" s="826"/>
      <c r="SYO46" s="1437"/>
      <c r="SYP46" s="1438"/>
      <c r="SYQ46" s="198"/>
      <c r="SYR46" s="198"/>
      <c r="SYS46" s="198"/>
      <c r="SYT46" s="198"/>
      <c r="SYU46" s="198"/>
      <c r="SYV46" s="198"/>
      <c r="SYW46" s="827"/>
      <c r="SYX46" s="198"/>
      <c r="SYY46" s="826"/>
      <c r="SYZ46" s="1437"/>
      <c r="SZA46" s="1438"/>
      <c r="SZB46" s="198"/>
      <c r="SZC46" s="198"/>
      <c r="SZD46" s="198"/>
      <c r="SZE46" s="198"/>
      <c r="SZF46" s="198"/>
      <c r="SZG46" s="198"/>
      <c r="SZH46" s="827"/>
      <c r="SZI46" s="198"/>
      <c r="SZJ46" s="826"/>
      <c r="SZK46" s="1437"/>
      <c r="SZL46" s="1438"/>
      <c r="SZM46" s="198"/>
      <c r="SZN46" s="198"/>
      <c r="SZO46" s="198"/>
      <c r="SZP46" s="198"/>
      <c r="SZQ46" s="198"/>
      <c r="SZR46" s="198"/>
      <c r="SZS46" s="827"/>
      <c r="SZT46" s="198"/>
      <c r="SZU46" s="826"/>
      <c r="SZV46" s="1437"/>
      <c r="SZW46" s="1438"/>
      <c r="SZX46" s="198"/>
      <c r="SZY46" s="198"/>
      <c r="SZZ46" s="198"/>
      <c r="TAA46" s="198"/>
      <c r="TAB46" s="198"/>
      <c r="TAC46" s="198"/>
      <c r="TAD46" s="827"/>
      <c r="TAE46" s="198"/>
      <c r="TAF46" s="826"/>
      <c r="TAG46" s="1437"/>
      <c r="TAH46" s="1438"/>
      <c r="TAI46" s="198"/>
      <c r="TAJ46" s="198"/>
      <c r="TAK46" s="198"/>
      <c r="TAL46" s="198"/>
      <c r="TAM46" s="198"/>
      <c r="TAN46" s="198"/>
      <c r="TAO46" s="827"/>
      <c r="TAP46" s="198"/>
      <c r="TAQ46" s="826"/>
      <c r="TAR46" s="1437"/>
      <c r="TAS46" s="1438"/>
      <c r="TAT46" s="198"/>
      <c r="TAU46" s="198"/>
      <c r="TAV46" s="198"/>
      <c r="TAW46" s="198"/>
      <c r="TAX46" s="198"/>
      <c r="TAY46" s="198"/>
      <c r="TAZ46" s="827"/>
      <c r="TBA46" s="198"/>
      <c r="TBB46" s="826"/>
      <c r="TBC46" s="1437"/>
      <c r="TBD46" s="1438"/>
      <c r="TBE46" s="198"/>
      <c r="TBF46" s="198"/>
      <c r="TBG46" s="198"/>
      <c r="TBH46" s="198"/>
      <c r="TBI46" s="198"/>
      <c r="TBJ46" s="198"/>
      <c r="TBK46" s="827"/>
      <c r="TBL46" s="198"/>
      <c r="TBM46" s="826"/>
      <c r="TBN46" s="1437"/>
      <c r="TBO46" s="1438"/>
      <c r="TBP46" s="198"/>
      <c r="TBQ46" s="198"/>
      <c r="TBR46" s="198"/>
      <c r="TBS46" s="198"/>
      <c r="TBT46" s="198"/>
      <c r="TBU46" s="198"/>
      <c r="TBV46" s="827"/>
      <c r="TBW46" s="198"/>
      <c r="TBX46" s="826"/>
      <c r="TBY46" s="1437"/>
      <c r="TBZ46" s="1438"/>
      <c r="TCA46" s="198"/>
      <c r="TCB46" s="198"/>
      <c r="TCC46" s="198"/>
      <c r="TCD46" s="198"/>
      <c r="TCE46" s="198"/>
      <c r="TCF46" s="198"/>
      <c r="TCG46" s="827"/>
      <c r="TCH46" s="198"/>
      <c r="TCI46" s="826"/>
      <c r="TCJ46" s="1437"/>
      <c r="TCK46" s="1438"/>
      <c r="TCL46" s="198"/>
      <c r="TCM46" s="198"/>
      <c r="TCN46" s="198"/>
      <c r="TCO46" s="198"/>
      <c r="TCP46" s="198"/>
      <c r="TCQ46" s="198"/>
      <c r="TCR46" s="827"/>
      <c r="TCS46" s="198"/>
      <c r="TCT46" s="826"/>
      <c r="TCU46" s="1437"/>
      <c r="TCV46" s="1438"/>
      <c r="TCW46" s="198"/>
      <c r="TCX46" s="198"/>
      <c r="TCY46" s="198"/>
      <c r="TCZ46" s="198"/>
      <c r="TDA46" s="198"/>
      <c r="TDB46" s="198"/>
      <c r="TDC46" s="827"/>
      <c r="TDD46" s="198"/>
      <c r="TDE46" s="826"/>
      <c r="TDF46" s="1437"/>
      <c r="TDG46" s="1438"/>
      <c r="TDH46" s="198"/>
      <c r="TDI46" s="198"/>
      <c r="TDJ46" s="198"/>
      <c r="TDK46" s="198"/>
      <c r="TDL46" s="198"/>
      <c r="TDM46" s="198"/>
      <c r="TDN46" s="827"/>
      <c r="TDO46" s="198"/>
      <c r="TDP46" s="826"/>
      <c r="TDQ46" s="1437"/>
      <c r="TDR46" s="1438"/>
      <c r="TDS46" s="198"/>
      <c r="TDT46" s="198"/>
      <c r="TDU46" s="198"/>
      <c r="TDV46" s="198"/>
      <c r="TDW46" s="198"/>
      <c r="TDX46" s="198"/>
      <c r="TDY46" s="827"/>
      <c r="TDZ46" s="198"/>
      <c r="TEA46" s="826"/>
      <c r="TEB46" s="1437"/>
      <c r="TEC46" s="1438"/>
      <c r="TED46" s="198"/>
      <c r="TEE46" s="198"/>
      <c r="TEF46" s="198"/>
      <c r="TEG46" s="198"/>
      <c r="TEH46" s="198"/>
      <c r="TEI46" s="198"/>
      <c r="TEJ46" s="827"/>
      <c r="TEK46" s="198"/>
      <c r="TEL46" s="826"/>
      <c r="TEM46" s="1437"/>
      <c r="TEN46" s="1438"/>
      <c r="TEO46" s="198"/>
      <c r="TEP46" s="198"/>
      <c r="TEQ46" s="198"/>
      <c r="TER46" s="198"/>
      <c r="TES46" s="198"/>
      <c r="TET46" s="198"/>
      <c r="TEU46" s="827"/>
      <c r="TEV46" s="198"/>
      <c r="TEW46" s="826"/>
      <c r="TEX46" s="1437"/>
      <c r="TEY46" s="1438"/>
      <c r="TEZ46" s="198"/>
      <c r="TFA46" s="198"/>
      <c r="TFB46" s="198"/>
      <c r="TFC46" s="198"/>
      <c r="TFD46" s="198"/>
      <c r="TFE46" s="198"/>
      <c r="TFF46" s="827"/>
      <c r="TFG46" s="198"/>
      <c r="TFH46" s="826"/>
      <c r="TFI46" s="1437"/>
      <c r="TFJ46" s="1438"/>
      <c r="TFK46" s="198"/>
      <c r="TFL46" s="198"/>
      <c r="TFM46" s="198"/>
      <c r="TFN46" s="198"/>
      <c r="TFO46" s="198"/>
      <c r="TFP46" s="198"/>
      <c r="TFQ46" s="827"/>
      <c r="TFR46" s="198"/>
      <c r="TFS46" s="826"/>
      <c r="TFT46" s="1437"/>
      <c r="TFU46" s="1438"/>
      <c r="TFV46" s="198"/>
      <c r="TFW46" s="198"/>
      <c r="TFX46" s="198"/>
      <c r="TFY46" s="198"/>
      <c r="TFZ46" s="198"/>
      <c r="TGA46" s="198"/>
      <c r="TGB46" s="827"/>
      <c r="TGC46" s="198"/>
      <c r="TGD46" s="826"/>
      <c r="TGE46" s="1437"/>
      <c r="TGF46" s="1438"/>
      <c r="TGG46" s="198"/>
      <c r="TGH46" s="198"/>
      <c r="TGI46" s="198"/>
      <c r="TGJ46" s="198"/>
      <c r="TGK46" s="198"/>
      <c r="TGL46" s="198"/>
      <c r="TGM46" s="827"/>
      <c r="TGN46" s="198"/>
      <c r="TGO46" s="826"/>
      <c r="TGP46" s="1437"/>
      <c r="TGQ46" s="1438"/>
      <c r="TGR46" s="198"/>
      <c r="TGS46" s="198"/>
      <c r="TGT46" s="198"/>
      <c r="TGU46" s="198"/>
      <c r="TGV46" s="198"/>
      <c r="TGW46" s="198"/>
      <c r="TGX46" s="827"/>
      <c r="TGY46" s="198"/>
      <c r="TGZ46" s="826"/>
      <c r="THA46" s="1437"/>
      <c r="THB46" s="1438"/>
      <c r="THC46" s="198"/>
      <c r="THD46" s="198"/>
      <c r="THE46" s="198"/>
      <c r="THF46" s="198"/>
      <c r="THG46" s="198"/>
      <c r="THH46" s="198"/>
      <c r="THI46" s="827"/>
      <c r="THJ46" s="198"/>
      <c r="THK46" s="826"/>
      <c r="THL46" s="1437"/>
      <c r="THM46" s="1438"/>
      <c r="THN46" s="198"/>
      <c r="THO46" s="198"/>
      <c r="THP46" s="198"/>
      <c r="THQ46" s="198"/>
      <c r="THR46" s="198"/>
      <c r="THS46" s="198"/>
      <c r="THT46" s="827"/>
      <c r="THU46" s="198"/>
      <c r="THV46" s="826"/>
      <c r="THW46" s="1437"/>
      <c r="THX46" s="1438"/>
      <c r="THY46" s="198"/>
      <c r="THZ46" s="198"/>
      <c r="TIA46" s="198"/>
      <c r="TIB46" s="198"/>
      <c r="TIC46" s="198"/>
      <c r="TID46" s="198"/>
      <c r="TIE46" s="827"/>
      <c r="TIF46" s="198"/>
      <c r="TIG46" s="826"/>
      <c r="TIH46" s="1437"/>
      <c r="TII46" s="1438"/>
      <c r="TIJ46" s="198"/>
      <c r="TIK46" s="198"/>
      <c r="TIL46" s="198"/>
      <c r="TIM46" s="198"/>
      <c r="TIN46" s="198"/>
      <c r="TIO46" s="198"/>
      <c r="TIP46" s="827"/>
      <c r="TIQ46" s="198"/>
      <c r="TIR46" s="826"/>
      <c r="TIS46" s="1437"/>
      <c r="TIT46" s="1438"/>
      <c r="TIU46" s="198"/>
      <c r="TIV46" s="198"/>
      <c r="TIW46" s="198"/>
      <c r="TIX46" s="198"/>
      <c r="TIY46" s="198"/>
      <c r="TIZ46" s="198"/>
      <c r="TJA46" s="827"/>
      <c r="TJB46" s="198"/>
      <c r="TJC46" s="826"/>
      <c r="TJD46" s="1437"/>
      <c r="TJE46" s="1438"/>
      <c r="TJF46" s="198"/>
      <c r="TJG46" s="198"/>
      <c r="TJH46" s="198"/>
      <c r="TJI46" s="198"/>
      <c r="TJJ46" s="198"/>
      <c r="TJK46" s="198"/>
      <c r="TJL46" s="827"/>
      <c r="TJM46" s="198"/>
      <c r="TJN46" s="826"/>
      <c r="TJO46" s="1437"/>
      <c r="TJP46" s="1438"/>
      <c r="TJQ46" s="198"/>
      <c r="TJR46" s="198"/>
      <c r="TJS46" s="198"/>
      <c r="TJT46" s="198"/>
      <c r="TJU46" s="198"/>
      <c r="TJV46" s="198"/>
      <c r="TJW46" s="827"/>
      <c r="TJX46" s="198"/>
      <c r="TJY46" s="826"/>
      <c r="TJZ46" s="1437"/>
      <c r="TKA46" s="1438"/>
      <c r="TKB46" s="198"/>
      <c r="TKC46" s="198"/>
      <c r="TKD46" s="198"/>
      <c r="TKE46" s="198"/>
      <c r="TKF46" s="198"/>
      <c r="TKG46" s="198"/>
      <c r="TKH46" s="827"/>
      <c r="TKI46" s="198"/>
      <c r="TKJ46" s="826"/>
      <c r="TKK46" s="1437"/>
      <c r="TKL46" s="1438"/>
      <c r="TKM46" s="198"/>
      <c r="TKN46" s="198"/>
      <c r="TKO46" s="198"/>
      <c r="TKP46" s="198"/>
      <c r="TKQ46" s="198"/>
      <c r="TKR46" s="198"/>
      <c r="TKS46" s="827"/>
      <c r="TKT46" s="198"/>
      <c r="TKU46" s="826"/>
      <c r="TKV46" s="1437"/>
      <c r="TKW46" s="1438"/>
      <c r="TKX46" s="198"/>
      <c r="TKY46" s="198"/>
      <c r="TKZ46" s="198"/>
      <c r="TLA46" s="198"/>
      <c r="TLB46" s="198"/>
      <c r="TLC46" s="198"/>
      <c r="TLD46" s="827"/>
      <c r="TLE46" s="198"/>
      <c r="TLF46" s="826"/>
      <c r="TLG46" s="1437"/>
      <c r="TLH46" s="1438"/>
      <c r="TLI46" s="198"/>
      <c r="TLJ46" s="198"/>
      <c r="TLK46" s="198"/>
      <c r="TLL46" s="198"/>
      <c r="TLM46" s="198"/>
      <c r="TLN46" s="198"/>
      <c r="TLO46" s="827"/>
      <c r="TLP46" s="198"/>
      <c r="TLQ46" s="826"/>
      <c r="TLR46" s="1437"/>
      <c r="TLS46" s="1438"/>
      <c r="TLT46" s="198"/>
      <c r="TLU46" s="198"/>
      <c r="TLV46" s="198"/>
      <c r="TLW46" s="198"/>
      <c r="TLX46" s="198"/>
      <c r="TLY46" s="198"/>
      <c r="TLZ46" s="827"/>
      <c r="TMA46" s="198"/>
      <c r="TMB46" s="826"/>
      <c r="TMC46" s="1437"/>
      <c r="TMD46" s="1438"/>
      <c r="TME46" s="198"/>
      <c r="TMF46" s="198"/>
      <c r="TMG46" s="198"/>
      <c r="TMH46" s="198"/>
      <c r="TMI46" s="198"/>
      <c r="TMJ46" s="198"/>
      <c r="TMK46" s="827"/>
      <c r="TML46" s="198"/>
      <c r="TMM46" s="826"/>
      <c r="TMN46" s="1437"/>
      <c r="TMO46" s="1438"/>
      <c r="TMP46" s="198"/>
      <c r="TMQ46" s="198"/>
      <c r="TMR46" s="198"/>
      <c r="TMS46" s="198"/>
      <c r="TMT46" s="198"/>
      <c r="TMU46" s="198"/>
      <c r="TMV46" s="827"/>
      <c r="TMW46" s="198"/>
      <c r="TMX46" s="826"/>
      <c r="TMY46" s="1437"/>
      <c r="TMZ46" s="1438"/>
      <c r="TNA46" s="198"/>
      <c r="TNB46" s="198"/>
      <c r="TNC46" s="198"/>
      <c r="TND46" s="198"/>
      <c r="TNE46" s="198"/>
      <c r="TNF46" s="198"/>
      <c r="TNG46" s="827"/>
      <c r="TNH46" s="198"/>
      <c r="TNI46" s="826"/>
      <c r="TNJ46" s="1437"/>
      <c r="TNK46" s="1438"/>
      <c r="TNL46" s="198"/>
      <c r="TNM46" s="198"/>
      <c r="TNN46" s="198"/>
      <c r="TNO46" s="198"/>
      <c r="TNP46" s="198"/>
      <c r="TNQ46" s="198"/>
      <c r="TNR46" s="827"/>
      <c r="TNS46" s="198"/>
      <c r="TNT46" s="826"/>
      <c r="TNU46" s="1437"/>
      <c r="TNV46" s="1438"/>
      <c r="TNW46" s="198"/>
      <c r="TNX46" s="198"/>
      <c r="TNY46" s="198"/>
      <c r="TNZ46" s="198"/>
      <c r="TOA46" s="198"/>
      <c r="TOB46" s="198"/>
      <c r="TOC46" s="827"/>
      <c r="TOD46" s="198"/>
      <c r="TOE46" s="826"/>
      <c r="TOF46" s="1437"/>
      <c r="TOG46" s="1438"/>
      <c r="TOH46" s="198"/>
      <c r="TOI46" s="198"/>
      <c r="TOJ46" s="198"/>
      <c r="TOK46" s="198"/>
      <c r="TOL46" s="198"/>
      <c r="TOM46" s="198"/>
      <c r="TON46" s="827"/>
      <c r="TOO46" s="198"/>
      <c r="TOP46" s="826"/>
      <c r="TOQ46" s="1437"/>
      <c r="TOR46" s="1438"/>
      <c r="TOS46" s="198"/>
      <c r="TOT46" s="198"/>
      <c r="TOU46" s="198"/>
      <c r="TOV46" s="198"/>
      <c r="TOW46" s="198"/>
      <c r="TOX46" s="198"/>
      <c r="TOY46" s="827"/>
      <c r="TOZ46" s="198"/>
      <c r="TPA46" s="826"/>
      <c r="TPB46" s="1437"/>
      <c r="TPC46" s="1438"/>
      <c r="TPD46" s="198"/>
      <c r="TPE46" s="198"/>
      <c r="TPF46" s="198"/>
      <c r="TPG46" s="198"/>
      <c r="TPH46" s="198"/>
      <c r="TPI46" s="198"/>
      <c r="TPJ46" s="827"/>
      <c r="TPK46" s="198"/>
      <c r="TPL46" s="826"/>
      <c r="TPM46" s="1437"/>
      <c r="TPN46" s="1438"/>
      <c r="TPO46" s="198"/>
      <c r="TPP46" s="198"/>
      <c r="TPQ46" s="198"/>
      <c r="TPR46" s="198"/>
      <c r="TPS46" s="198"/>
      <c r="TPT46" s="198"/>
      <c r="TPU46" s="827"/>
      <c r="TPV46" s="198"/>
      <c r="TPW46" s="826"/>
      <c r="TPX46" s="1437"/>
      <c r="TPY46" s="1438"/>
      <c r="TPZ46" s="198"/>
      <c r="TQA46" s="198"/>
      <c r="TQB46" s="198"/>
      <c r="TQC46" s="198"/>
      <c r="TQD46" s="198"/>
      <c r="TQE46" s="198"/>
      <c r="TQF46" s="827"/>
      <c r="TQG46" s="198"/>
      <c r="TQH46" s="826"/>
      <c r="TQI46" s="1437"/>
      <c r="TQJ46" s="1438"/>
      <c r="TQK46" s="198"/>
      <c r="TQL46" s="198"/>
      <c r="TQM46" s="198"/>
      <c r="TQN46" s="198"/>
      <c r="TQO46" s="198"/>
      <c r="TQP46" s="198"/>
      <c r="TQQ46" s="827"/>
      <c r="TQR46" s="198"/>
      <c r="TQS46" s="826"/>
      <c r="TQT46" s="1437"/>
      <c r="TQU46" s="1438"/>
      <c r="TQV46" s="198"/>
      <c r="TQW46" s="198"/>
      <c r="TQX46" s="198"/>
      <c r="TQY46" s="198"/>
      <c r="TQZ46" s="198"/>
      <c r="TRA46" s="198"/>
      <c r="TRB46" s="827"/>
      <c r="TRC46" s="198"/>
      <c r="TRD46" s="826"/>
      <c r="TRE46" s="1437"/>
      <c r="TRF46" s="1438"/>
      <c r="TRG46" s="198"/>
      <c r="TRH46" s="198"/>
      <c r="TRI46" s="198"/>
      <c r="TRJ46" s="198"/>
      <c r="TRK46" s="198"/>
      <c r="TRL46" s="198"/>
      <c r="TRM46" s="827"/>
      <c r="TRN46" s="198"/>
      <c r="TRO46" s="826"/>
      <c r="TRP46" s="1437"/>
      <c r="TRQ46" s="1438"/>
      <c r="TRR46" s="198"/>
      <c r="TRS46" s="198"/>
      <c r="TRT46" s="198"/>
      <c r="TRU46" s="198"/>
      <c r="TRV46" s="198"/>
      <c r="TRW46" s="198"/>
      <c r="TRX46" s="827"/>
      <c r="TRY46" s="198"/>
      <c r="TRZ46" s="826"/>
      <c r="TSA46" s="1437"/>
      <c r="TSB46" s="1438"/>
      <c r="TSC46" s="198"/>
      <c r="TSD46" s="198"/>
      <c r="TSE46" s="198"/>
      <c r="TSF46" s="198"/>
      <c r="TSG46" s="198"/>
      <c r="TSH46" s="198"/>
      <c r="TSI46" s="827"/>
      <c r="TSJ46" s="198"/>
      <c r="TSK46" s="826"/>
      <c r="TSL46" s="1437"/>
      <c r="TSM46" s="1438"/>
      <c r="TSN46" s="198"/>
      <c r="TSO46" s="198"/>
      <c r="TSP46" s="198"/>
      <c r="TSQ46" s="198"/>
      <c r="TSR46" s="198"/>
      <c r="TSS46" s="198"/>
      <c r="TST46" s="827"/>
      <c r="TSU46" s="198"/>
      <c r="TSV46" s="826"/>
      <c r="TSW46" s="1437"/>
      <c r="TSX46" s="1438"/>
      <c r="TSY46" s="198"/>
      <c r="TSZ46" s="198"/>
      <c r="TTA46" s="198"/>
      <c r="TTB46" s="198"/>
      <c r="TTC46" s="198"/>
      <c r="TTD46" s="198"/>
      <c r="TTE46" s="827"/>
      <c r="TTF46" s="198"/>
      <c r="TTG46" s="826"/>
      <c r="TTH46" s="1437"/>
      <c r="TTI46" s="1438"/>
      <c r="TTJ46" s="198"/>
      <c r="TTK46" s="198"/>
      <c r="TTL46" s="198"/>
      <c r="TTM46" s="198"/>
      <c r="TTN46" s="198"/>
      <c r="TTO46" s="198"/>
      <c r="TTP46" s="827"/>
      <c r="TTQ46" s="198"/>
      <c r="TTR46" s="826"/>
      <c r="TTS46" s="1437"/>
      <c r="TTT46" s="1438"/>
      <c r="TTU46" s="198"/>
      <c r="TTV46" s="198"/>
      <c r="TTW46" s="198"/>
      <c r="TTX46" s="198"/>
      <c r="TTY46" s="198"/>
      <c r="TTZ46" s="198"/>
      <c r="TUA46" s="827"/>
      <c r="TUB46" s="198"/>
      <c r="TUC46" s="826"/>
      <c r="TUD46" s="1437"/>
      <c r="TUE46" s="1438"/>
      <c r="TUF46" s="198"/>
      <c r="TUG46" s="198"/>
      <c r="TUH46" s="198"/>
      <c r="TUI46" s="198"/>
      <c r="TUJ46" s="198"/>
      <c r="TUK46" s="198"/>
      <c r="TUL46" s="827"/>
      <c r="TUM46" s="198"/>
      <c r="TUN46" s="826"/>
      <c r="TUO46" s="1437"/>
      <c r="TUP46" s="1438"/>
      <c r="TUQ46" s="198"/>
      <c r="TUR46" s="198"/>
      <c r="TUS46" s="198"/>
      <c r="TUT46" s="198"/>
      <c r="TUU46" s="198"/>
      <c r="TUV46" s="198"/>
      <c r="TUW46" s="827"/>
      <c r="TUX46" s="198"/>
      <c r="TUY46" s="826"/>
      <c r="TUZ46" s="1437"/>
      <c r="TVA46" s="1438"/>
      <c r="TVB46" s="198"/>
      <c r="TVC46" s="198"/>
      <c r="TVD46" s="198"/>
      <c r="TVE46" s="198"/>
      <c r="TVF46" s="198"/>
      <c r="TVG46" s="198"/>
      <c r="TVH46" s="827"/>
      <c r="TVI46" s="198"/>
      <c r="TVJ46" s="826"/>
      <c r="TVK46" s="1437"/>
      <c r="TVL46" s="1438"/>
      <c r="TVM46" s="198"/>
      <c r="TVN46" s="198"/>
      <c r="TVO46" s="198"/>
      <c r="TVP46" s="198"/>
      <c r="TVQ46" s="198"/>
      <c r="TVR46" s="198"/>
      <c r="TVS46" s="827"/>
      <c r="TVT46" s="198"/>
      <c r="TVU46" s="826"/>
      <c r="TVV46" s="1437"/>
      <c r="TVW46" s="1438"/>
      <c r="TVX46" s="198"/>
      <c r="TVY46" s="198"/>
      <c r="TVZ46" s="198"/>
      <c r="TWA46" s="198"/>
      <c r="TWB46" s="198"/>
      <c r="TWC46" s="198"/>
      <c r="TWD46" s="827"/>
      <c r="TWE46" s="198"/>
      <c r="TWF46" s="826"/>
      <c r="TWG46" s="1437"/>
      <c r="TWH46" s="1438"/>
      <c r="TWI46" s="198"/>
      <c r="TWJ46" s="198"/>
      <c r="TWK46" s="198"/>
      <c r="TWL46" s="198"/>
      <c r="TWM46" s="198"/>
      <c r="TWN46" s="198"/>
      <c r="TWO46" s="827"/>
      <c r="TWP46" s="198"/>
      <c r="TWQ46" s="826"/>
      <c r="TWR46" s="1437"/>
      <c r="TWS46" s="1438"/>
      <c r="TWT46" s="198"/>
      <c r="TWU46" s="198"/>
      <c r="TWV46" s="198"/>
      <c r="TWW46" s="198"/>
      <c r="TWX46" s="198"/>
      <c r="TWY46" s="198"/>
      <c r="TWZ46" s="827"/>
      <c r="TXA46" s="198"/>
      <c r="TXB46" s="826"/>
      <c r="TXC46" s="1437"/>
      <c r="TXD46" s="1438"/>
      <c r="TXE46" s="198"/>
      <c r="TXF46" s="198"/>
      <c r="TXG46" s="198"/>
      <c r="TXH46" s="198"/>
      <c r="TXI46" s="198"/>
      <c r="TXJ46" s="198"/>
      <c r="TXK46" s="827"/>
      <c r="TXL46" s="198"/>
      <c r="TXM46" s="826"/>
      <c r="TXN46" s="1437"/>
      <c r="TXO46" s="1438"/>
      <c r="TXP46" s="198"/>
      <c r="TXQ46" s="198"/>
      <c r="TXR46" s="198"/>
      <c r="TXS46" s="198"/>
      <c r="TXT46" s="198"/>
      <c r="TXU46" s="198"/>
      <c r="TXV46" s="827"/>
      <c r="TXW46" s="198"/>
      <c r="TXX46" s="826"/>
      <c r="TXY46" s="1437"/>
      <c r="TXZ46" s="1438"/>
      <c r="TYA46" s="198"/>
      <c r="TYB46" s="198"/>
      <c r="TYC46" s="198"/>
      <c r="TYD46" s="198"/>
      <c r="TYE46" s="198"/>
      <c r="TYF46" s="198"/>
      <c r="TYG46" s="827"/>
      <c r="TYH46" s="198"/>
      <c r="TYI46" s="826"/>
      <c r="TYJ46" s="1437"/>
      <c r="TYK46" s="1438"/>
      <c r="TYL46" s="198"/>
      <c r="TYM46" s="198"/>
      <c r="TYN46" s="198"/>
      <c r="TYO46" s="198"/>
      <c r="TYP46" s="198"/>
      <c r="TYQ46" s="198"/>
      <c r="TYR46" s="827"/>
      <c r="TYS46" s="198"/>
      <c r="TYT46" s="826"/>
      <c r="TYU46" s="1437"/>
      <c r="TYV46" s="1438"/>
      <c r="TYW46" s="198"/>
      <c r="TYX46" s="198"/>
      <c r="TYY46" s="198"/>
      <c r="TYZ46" s="198"/>
      <c r="TZA46" s="198"/>
      <c r="TZB46" s="198"/>
      <c r="TZC46" s="827"/>
      <c r="TZD46" s="198"/>
      <c r="TZE46" s="826"/>
      <c r="TZF46" s="1437"/>
      <c r="TZG46" s="1438"/>
      <c r="TZH46" s="198"/>
      <c r="TZI46" s="198"/>
      <c r="TZJ46" s="198"/>
      <c r="TZK46" s="198"/>
      <c r="TZL46" s="198"/>
      <c r="TZM46" s="198"/>
      <c r="TZN46" s="827"/>
      <c r="TZO46" s="198"/>
      <c r="TZP46" s="826"/>
      <c r="TZQ46" s="1437"/>
      <c r="TZR46" s="1438"/>
      <c r="TZS46" s="198"/>
      <c r="TZT46" s="198"/>
      <c r="TZU46" s="198"/>
      <c r="TZV46" s="198"/>
      <c r="TZW46" s="198"/>
      <c r="TZX46" s="198"/>
      <c r="TZY46" s="827"/>
      <c r="TZZ46" s="198"/>
      <c r="UAA46" s="826"/>
      <c r="UAB46" s="1437"/>
      <c r="UAC46" s="1438"/>
      <c r="UAD46" s="198"/>
      <c r="UAE46" s="198"/>
      <c r="UAF46" s="198"/>
      <c r="UAG46" s="198"/>
      <c r="UAH46" s="198"/>
      <c r="UAI46" s="198"/>
      <c r="UAJ46" s="827"/>
      <c r="UAK46" s="198"/>
      <c r="UAL46" s="826"/>
      <c r="UAM46" s="1437"/>
      <c r="UAN46" s="1438"/>
      <c r="UAO46" s="198"/>
      <c r="UAP46" s="198"/>
      <c r="UAQ46" s="198"/>
      <c r="UAR46" s="198"/>
      <c r="UAS46" s="198"/>
      <c r="UAT46" s="198"/>
      <c r="UAU46" s="827"/>
      <c r="UAV46" s="198"/>
      <c r="UAW46" s="826"/>
      <c r="UAX46" s="1437"/>
      <c r="UAY46" s="1438"/>
      <c r="UAZ46" s="198"/>
      <c r="UBA46" s="198"/>
      <c r="UBB46" s="198"/>
      <c r="UBC46" s="198"/>
      <c r="UBD46" s="198"/>
      <c r="UBE46" s="198"/>
      <c r="UBF46" s="827"/>
      <c r="UBG46" s="198"/>
      <c r="UBH46" s="826"/>
      <c r="UBI46" s="1437"/>
      <c r="UBJ46" s="1438"/>
      <c r="UBK46" s="198"/>
      <c r="UBL46" s="198"/>
      <c r="UBM46" s="198"/>
      <c r="UBN46" s="198"/>
      <c r="UBO46" s="198"/>
      <c r="UBP46" s="198"/>
      <c r="UBQ46" s="827"/>
      <c r="UBR46" s="198"/>
      <c r="UBS46" s="826"/>
      <c r="UBT46" s="1437"/>
      <c r="UBU46" s="1438"/>
      <c r="UBV46" s="198"/>
      <c r="UBW46" s="198"/>
      <c r="UBX46" s="198"/>
      <c r="UBY46" s="198"/>
      <c r="UBZ46" s="198"/>
      <c r="UCA46" s="198"/>
      <c r="UCB46" s="827"/>
      <c r="UCC46" s="198"/>
      <c r="UCD46" s="826"/>
      <c r="UCE46" s="1437"/>
      <c r="UCF46" s="1438"/>
      <c r="UCG46" s="198"/>
      <c r="UCH46" s="198"/>
      <c r="UCI46" s="198"/>
      <c r="UCJ46" s="198"/>
      <c r="UCK46" s="198"/>
      <c r="UCL46" s="198"/>
      <c r="UCM46" s="827"/>
      <c r="UCN46" s="198"/>
      <c r="UCO46" s="826"/>
      <c r="UCP46" s="1437"/>
      <c r="UCQ46" s="1438"/>
      <c r="UCR46" s="198"/>
      <c r="UCS46" s="198"/>
      <c r="UCT46" s="198"/>
      <c r="UCU46" s="198"/>
      <c r="UCV46" s="198"/>
      <c r="UCW46" s="198"/>
      <c r="UCX46" s="827"/>
      <c r="UCY46" s="198"/>
      <c r="UCZ46" s="826"/>
      <c r="UDA46" s="1437"/>
      <c r="UDB46" s="1438"/>
      <c r="UDC46" s="198"/>
      <c r="UDD46" s="198"/>
      <c r="UDE46" s="198"/>
      <c r="UDF46" s="198"/>
      <c r="UDG46" s="198"/>
      <c r="UDH46" s="198"/>
      <c r="UDI46" s="827"/>
      <c r="UDJ46" s="198"/>
      <c r="UDK46" s="826"/>
      <c r="UDL46" s="1437"/>
      <c r="UDM46" s="1438"/>
      <c r="UDN46" s="198"/>
      <c r="UDO46" s="198"/>
      <c r="UDP46" s="198"/>
      <c r="UDQ46" s="198"/>
      <c r="UDR46" s="198"/>
      <c r="UDS46" s="198"/>
      <c r="UDT46" s="827"/>
      <c r="UDU46" s="198"/>
      <c r="UDV46" s="826"/>
      <c r="UDW46" s="1437"/>
      <c r="UDX46" s="1438"/>
      <c r="UDY46" s="198"/>
      <c r="UDZ46" s="198"/>
      <c r="UEA46" s="198"/>
      <c r="UEB46" s="198"/>
      <c r="UEC46" s="198"/>
      <c r="UED46" s="198"/>
      <c r="UEE46" s="827"/>
      <c r="UEF46" s="198"/>
      <c r="UEG46" s="826"/>
      <c r="UEH46" s="1437"/>
      <c r="UEI46" s="1438"/>
      <c r="UEJ46" s="198"/>
      <c r="UEK46" s="198"/>
      <c r="UEL46" s="198"/>
      <c r="UEM46" s="198"/>
      <c r="UEN46" s="198"/>
      <c r="UEO46" s="198"/>
      <c r="UEP46" s="827"/>
      <c r="UEQ46" s="198"/>
      <c r="UER46" s="826"/>
      <c r="UES46" s="1437"/>
      <c r="UET46" s="1438"/>
      <c r="UEU46" s="198"/>
      <c r="UEV46" s="198"/>
      <c r="UEW46" s="198"/>
      <c r="UEX46" s="198"/>
      <c r="UEY46" s="198"/>
      <c r="UEZ46" s="198"/>
      <c r="UFA46" s="827"/>
      <c r="UFB46" s="198"/>
      <c r="UFC46" s="826"/>
      <c r="UFD46" s="1437"/>
      <c r="UFE46" s="1438"/>
      <c r="UFF46" s="198"/>
      <c r="UFG46" s="198"/>
      <c r="UFH46" s="198"/>
      <c r="UFI46" s="198"/>
      <c r="UFJ46" s="198"/>
      <c r="UFK46" s="198"/>
      <c r="UFL46" s="827"/>
      <c r="UFM46" s="198"/>
      <c r="UFN46" s="826"/>
      <c r="UFO46" s="1437"/>
      <c r="UFP46" s="1438"/>
      <c r="UFQ46" s="198"/>
      <c r="UFR46" s="198"/>
      <c r="UFS46" s="198"/>
      <c r="UFT46" s="198"/>
      <c r="UFU46" s="198"/>
      <c r="UFV46" s="198"/>
      <c r="UFW46" s="827"/>
      <c r="UFX46" s="198"/>
      <c r="UFY46" s="826"/>
      <c r="UFZ46" s="1437"/>
      <c r="UGA46" s="1438"/>
      <c r="UGB46" s="198"/>
      <c r="UGC46" s="198"/>
      <c r="UGD46" s="198"/>
      <c r="UGE46" s="198"/>
      <c r="UGF46" s="198"/>
      <c r="UGG46" s="198"/>
      <c r="UGH46" s="827"/>
      <c r="UGI46" s="198"/>
      <c r="UGJ46" s="826"/>
      <c r="UGK46" s="1437"/>
      <c r="UGL46" s="1438"/>
      <c r="UGM46" s="198"/>
      <c r="UGN46" s="198"/>
      <c r="UGO46" s="198"/>
      <c r="UGP46" s="198"/>
      <c r="UGQ46" s="198"/>
      <c r="UGR46" s="198"/>
      <c r="UGS46" s="827"/>
      <c r="UGT46" s="198"/>
      <c r="UGU46" s="826"/>
      <c r="UGV46" s="1437"/>
      <c r="UGW46" s="1438"/>
      <c r="UGX46" s="198"/>
      <c r="UGY46" s="198"/>
      <c r="UGZ46" s="198"/>
      <c r="UHA46" s="198"/>
      <c r="UHB46" s="198"/>
      <c r="UHC46" s="198"/>
      <c r="UHD46" s="827"/>
      <c r="UHE46" s="198"/>
      <c r="UHF46" s="826"/>
      <c r="UHG46" s="1437"/>
      <c r="UHH46" s="1438"/>
      <c r="UHI46" s="198"/>
      <c r="UHJ46" s="198"/>
      <c r="UHK46" s="198"/>
      <c r="UHL46" s="198"/>
      <c r="UHM46" s="198"/>
      <c r="UHN46" s="198"/>
      <c r="UHO46" s="827"/>
      <c r="UHP46" s="198"/>
      <c r="UHQ46" s="826"/>
      <c r="UHR46" s="1437"/>
      <c r="UHS46" s="1438"/>
      <c r="UHT46" s="198"/>
      <c r="UHU46" s="198"/>
      <c r="UHV46" s="198"/>
      <c r="UHW46" s="198"/>
      <c r="UHX46" s="198"/>
      <c r="UHY46" s="198"/>
      <c r="UHZ46" s="827"/>
      <c r="UIA46" s="198"/>
      <c r="UIB46" s="826"/>
      <c r="UIC46" s="1437"/>
      <c r="UID46" s="1438"/>
      <c r="UIE46" s="198"/>
      <c r="UIF46" s="198"/>
      <c r="UIG46" s="198"/>
      <c r="UIH46" s="198"/>
      <c r="UII46" s="198"/>
      <c r="UIJ46" s="198"/>
      <c r="UIK46" s="827"/>
      <c r="UIL46" s="198"/>
      <c r="UIM46" s="826"/>
      <c r="UIN46" s="1437"/>
      <c r="UIO46" s="1438"/>
      <c r="UIP46" s="198"/>
      <c r="UIQ46" s="198"/>
      <c r="UIR46" s="198"/>
      <c r="UIS46" s="198"/>
      <c r="UIT46" s="198"/>
      <c r="UIU46" s="198"/>
      <c r="UIV46" s="827"/>
      <c r="UIW46" s="198"/>
      <c r="UIX46" s="826"/>
      <c r="UIY46" s="1437"/>
      <c r="UIZ46" s="1438"/>
      <c r="UJA46" s="198"/>
      <c r="UJB46" s="198"/>
      <c r="UJC46" s="198"/>
      <c r="UJD46" s="198"/>
      <c r="UJE46" s="198"/>
      <c r="UJF46" s="198"/>
      <c r="UJG46" s="827"/>
      <c r="UJH46" s="198"/>
      <c r="UJI46" s="826"/>
      <c r="UJJ46" s="1437"/>
      <c r="UJK46" s="1438"/>
      <c r="UJL46" s="198"/>
      <c r="UJM46" s="198"/>
      <c r="UJN46" s="198"/>
      <c r="UJO46" s="198"/>
      <c r="UJP46" s="198"/>
      <c r="UJQ46" s="198"/>
      <c r="UJR46" s="827"/>
      <c r="UJS46" s="198"/>
      <c r="UJT46" s="826"/>
      <c r="UJU46" s="1437"/>
      <c r="UJV46" s="1438"/>
      <c r="UJW46" s="198"/>
      <c r="UJX46" s="198"/>
      <c r="UJY46" s="198"/>
      <c r="UJZ46" s="198"/>
      <c r="UKA46" s="198"/>
      <c r="UKB46" s="198"/>
      <c r="UKC46" s="827"/>
      <c r="UKD46" s="198"/>
      <c r="UKE46" s="826"/>
      <c r="UKF46" s="1437"/>
      <c r="UKG46" s="1438"/>
      <c r="UKH46" s="198"/>
      <c r="UKI46" s="198"/>
      <c r="UKJ46" s="198"/>
      <c r="UKK46" s="198"/>
      <c r="UKL46" s="198"/>
      <c r="UKM46" s="198"/>
      <c r="UKN46" s="827"/>
      <c r="UKO46" s="198"/>
      <c r="UKP46" s="826"/>
      <c r="UKQ46" s="1437"/>
      <c r="UKR46" s="1438"/>
      <c r="UKS46" s="198"/>
      <c r="UKT46" s="198"/>
      <c r="UKU46" s="198"/>
      <c r="UKV46" s="198"/>
      <c r="UKW46" s="198"/>
      <c r="UKX46" s="198"/>
      <c r="UKY46" s="827"/>
      <c r="UKZ46" s="198"/>
      <c r="ULA46" s="826"/>
      <c r="ULB46" s="1437"/>
      <c r="ULC46" s="1438"/>
      <c r="ULD46" s="198"/>
      <c r="ULE46" s="198"/>
      <c r="ULF46" s="198"/>
      <c r="ULG46" s="198"/>
      <c r="ULH46" s="198"/>
      <c r="ULI46" s="198"/>
      <c r="ULJ46" s="827"/>
      <c r="ULK46" s="198"/>
      <c r="ULL46" s="826"/>
      <c r="ULM46" s="1437"/>
      <c r="ULN46" s="1438"/>
      <c r="ULO46" s="198"/>
      <c r="ULP46" s="198"/>
      <c r="ULQ46" s="198"/>
      <c r="ULR46" s="198"/>
      <c r="ULS46" s="198"/>
      <c r="ULT46" s="198"/>
      <c r="ULU46" s="827"/>
      <c r="ULV46" s="198"/>
      <c r="ULW46" s="826"/>
      <c r="ULX46" s="1437"/>
      <c r="ULY46" s="1438"/>
      <c r="ULZ46" s="198"/>
      <c r="UMA46" s="198"/>
      <c r="UMB46" s="198"/>
      <c r="UMC46" s="198"/>
      <c r="UMD46" s="198"/>
      <c r="UME46" s="198"/>
      <c r="UMF46" s="827"/>
      <c r="UMG46" s="198"/>
      <c r="UMH46" s="826"/>
      <c r="UMI46" s="1437"/>
      <c r="UMJ46" s="1438"/>
      <c r="UMK46" s="198"/>
      <c r="UML46" s="198"/>
      <c r="UMM46" s="198"/>
      <c r="UMN46" s="198"/>
      <c r="UMO46" s="198"/>
      <c r="UMP46" s="198"/>
      <c r="UMQ46" s="827"/>
      <c r="UMR46" s="198"/>
      <c r="UMS46" s="826"/>
      <c r="UMT46" s="1437"/>
      <c r="UMU46" s="1438"/>
      <c r="UMV46" s="198"/>
      <c r="UMW46" s="198"/>
      <c r="UMX46" s="198"/>
      <c r="UMY46" s="198"/>
      <c r="UMZ46" s="198"/>
      <c r="UNA46" s="198"/>
      <c r="UNB46" s="827"/>
      <c r="UNC46" s="198"/>
      <c r="UND46" s="826"/>
      <c r="UNE46" s="1437"/>
      <c r="UNF46" s="1438"/>
      <c r="UNG46" s="198"/>
      <c r="UNH46" s="198"/>
      <c r="UNI46" s="198"/>
      <c r="UNJ46" s="198"/>
      <c r="UNK46" s="198"/>
      <c r="UNL46" s="198"/>
      <c r="UNM46" s="827"/>
      <c r="UNN46" s="198"/>
      <c r="UNO46" s="826"/>
      <c r="UNP46" s="1437"/>
      <c r="UNQ46" s="1438"/>
      <c r="UNR46" s="198"/>
      <c r="UNS46" s="198"/>
      <c r="UNT46" s="198"/>
      <c r="UNU46" s="198"/>
      <c r="UNV46" s="198"/>
      <c r="UNW46" s="198"/>
      <c r="UNX46" s="827"/>
      <c r="UNY46" s="198"/>
      <c r="UNZ46" s="826"/>
      <c r="UOA46" s="1437"/>
      <c r="UOB46" s="1438"/>
      <c r="UOC46" s="198"/>
      <c r="UOD46" s="198"/>
      <c r="UOE46" s="198"/>
      <c r="UOF46" s="198"/>
      <c r="UOG46" s="198"/>
      <c r="UOH46" s="198"/>
      <c r="UOI46" s="827"/>
      <c r="UOJ46" s="198"/>
      <c r="UOK46" s="826"/>
      <c r="UOL46" s="1437"/>
      <c r="UOM46" s="1438"/>
      <c r="UON46" s="198"/>
      <c r="UOO46" s="198"/>
      <c r="UOP46" s="198"/>
      <c r="UOQ46" s="198"/>
      <c r="UOR46" s="198"/>
      <c r="UOS46" s="198"/>
      <c r="UOT46" s="827"/>
      <c r="UOU46" s="198"/>
      <c r="UOV46" s="826"/>
      <c r="UOW46" s="1437"/>
      <c r="UOX46" s="1438"/>
      <c r="UOY46" s="198"/>
      <c r="UOZ46" s="198"/>
      <c r="UPA46" s="198"/>
      <c r="UPB46" s="198"/>
      <c r="UPC46" s="198"/>
      <c r="UPD46" s="198"/>
      <c r="UPE46" s="827"/>
      <c r="UPF46" s="198"/>
      <c r="UPG46" s="826"/>
      <c r="UPH46" s="1437"/>
      <c r="UPI46" s="1438"/>
      <c r="UPJ46" s="198"/>
      <c r="UPK46" s="198"/>
      <c r="UPL46" s="198"/>
      <c r="UPM46" s="198"/>
      <c r="UPN46" s="198"/>
      <c r="UPO46" s="198"/>
      <c r="UPP46" s="827"/>
      <c r="UPQ46" s="198"/>
      <c r="UPR46" s="826"/>
      <c r="UPS46" s="1437"/>
      <c r="UPT46" s="1438"/>
      <c r="UPU46" s="198"/>
      <c r="UPV46" s="198"/>
      <c r="UPW46" s="198"/>
      <c r="UPX46" s="198"/>
      <c r="UPY46" s="198"/>
      <c r="UPZ46" s="198"/>
      <c r="UQA46" s="827"/>
      <c r="UQB46" s="198"/>
      <c r="UQC46" s="826"/>
      <c r="UQD46" s="1437"/>
      <c r="UQE46" s="1438"/>
      <c r="UQF46" s="198"/>
      <c r="UQG46" s="198"/>
      <c r="UQH46" s="198"/>
      <c r="UQI46" s="198"/>
      <c r="UQJ46" s="198"/>
      <c r="UQK46" s="198"/>
      <c r="UQL46" s="827"/>
      <c r="UQM46" s="198"/>
      <c r="UQN46" s="826"/>
      <c r="UQO46" s="1437"/>
      <c r="UQP46" s="1438"/>
      <c r="UQQ46" s="198"/>
      <c r="UQR46" s="198"/>
      <c r="UQS46" s="198"/>
      <c r="UQT46" s="198"/>
      <c r="UQU46" s="198"/>
      <c r="UQV46" s="198"/>
      <c r="UQW46" s="827"/>
      <c r="UQX46" s="198"/>
      <c r="UQY46" s="826"/>
      <c r="UQZ46" s="1437"/>
      <c r="URA46" s="1438"/>
      <c r="URB46" s="198"/>
      <c r="URC46" s="198"/>
      <c r="URD46" s="198"/>
      <c r="URE46" s="198"/>
      <c r="URF46" s="198"/>
      <c r="URG46" s="198"/>
      <c r="URH46" s="827"/>
      <c r="URI46" s="198"/>
      <c r="URJ46" s="826"/>
      <c r="URK46" s="1437"/>
      <c r="URL46" s="1438"/>
      <c r="URM46" s="198"/>
      <c r="URN46" s="198"/>
      <c r="URO46" s="198"/>
      <c r="URP46" s="198"/>
      <c r="URQ46" s="198"/>
      <c r="URR46" s="198"/>
      <c r="URS46" s="827"/>
      <c r="URT46" s="198"/>
      <c r="URU46" s="826"/>
      <c r="URV46" s="1437"/>
      <c r="URW46" s="1438"/>
      <c r="URX46" s="198"/>
      <c r="URY46" s="198"/>
      <c r="URZ46" s="198"/>
      <c r="USA46" s="198"/>
      <c r="USB46" s="198"/>
      <c r="USC46" s="198"/>
      <c r="USD46" s="827"/>
      <c r="USE46" s="198"/>
      <c r="USF46" s="826"/>
      <c r="USG46" s="1437"/>
      <c r="USH46" s="1438"/>
      <c r="USI46" s="198"/>
      <c r="USJ46" s="198"/>
      <c r="USK46" s="198"/>
      <c r="USL46" s="198"/>
      <c r="USM46" s="198"/>
      <c r="USN46" s="198"/>
      <c r="USO46" s="827"/>
      <c r="USP46" s="198"/>
      <c r="USQ46" s="826"/>
      <c r="USR46" s="1437"/>
      <c r="USS46" s="1438"/>
      <c r="UST46" s="198"/>
      <c r="USU46" s="198"/>
      <c r="USV46" s="198"/>
      <c r="USW46" s="198"/>
      <c r="USX46" s="198"/>
      <c r="USY46" s="198"/>
      <c r="USZ46" s="827"/>
      <c r="UTA46" s="198"/>
      <c r="UTB46" s="826"/>
      <c r="UTC46" s="1437"/>
      <c r="UTD46" s="1438"/>
      <c r="UTE46" s="198"/>
      <c r="UTF46" s="198"/>
      <c r="UTG46" s="198"/>
      <c r="UTH46" s="198"/>
      <c r="UTI46" s="198"/>
      <c r="UTJ46" s="198"/>
      <c r="UTK46" s="827"/>
      <c r="UTL46" s="198"/>
      <c r="UTM46" s="826"/>
      <c r="UTN46" s="1437"/>
      <c r="UTO46" s="1438"/>
      <c r="UTP46" s="198"/>
      <c r="UTQ46" s="198"/>
      <c r="UTR46" s="198"/>
      <c r="UTS46" s="198"/>
      <c r="UTT46" s="198"/>
      <c r="UTU46" s="198"/>
      <c r="UTV46" s="827"/>
      <c r="UTW46" s="198"/>
      <c r="UTX46" s="826"/>
      <c r="UTY46" s="1437"/>
      <c r="UTZ46" s="1438"/>
      <c r="UUA46" s="198"/>
      <c r="UUB46" s="198"/>
      <c r="UUC46" s="198"/>
      <c r="UUD46" s="198"/>
      <c r="UUE46" s="198"/>
      <c r="UUF46" s="198"/>
      <c r="UUG46" s="827"/>
      <c r="UUH46" s="198"/>
      <c r="UUI46" s="826"/>
      <c r="UUJ46" s="1437"/>
      <c r="UUK46" s="1438"/>
      <c r="UUL46" s="198"/>
      <c r="UUM46" s="198"/>
      <c r="UUN46" s="198"/>
      <c r="UUO46" s="198"/>
      <c r="UUP46" s="198"/>
      <c r="UUQ46" s="198"/>
      <c r="UUR46" s="827"/>
      <c r="UUS46" s="198"/>
      <c r="UUT46" s="826"/>
      <c r="UUU46" s="1437"/>
      <c r="UUV46" s="1438"/>
      <c r="UUW46" s="198"/>
      <c r="UUX46" s="198"/>
      <c r="UUY46" s="198"/>
      <c r="UUZ46" s="198"/>
      <c r="UVA46" s="198"/>
      <c r="UVB46" s="198"/>
      <c r="UVC46" s="827"/>
      <c r="UVD46" s="198"/>
      <c r="UVE46" s="826"/>
      <c r="UVF46" s="1437"/>
      <c r="UVG46" s="1438"/>
      <c r="UVH46" s="198"/>
      <c r="UVI46" s="198"/>
      <c r="UVJ46" s="198"/>
      <c r="UVK46" s="198"/>
      <c r="UVL46" s="198"/>
      <c r="UVM46" s="198"/>
      <c r="UVN46" s="827"/>
      <c r="UVO46" s="198"/>
      <c r="UVP46" s="826"/>
      <c r="UVQ46" s="1437"/>
      <c r="UVR46" s="1438"/>
      <c r="UVS46" s="198"/>
      <c r="UVT46" s="198"/>
      <c r="UVU46" s="198"/>
      <c r="UVV46" s="198"/>
      <c r="UVW46" s="198"/>
      <c r="UVX46" s="198"/>
      <c r="UVY46" s="827"/>
      <c r="UVZ46" s="198"/>
      <c r="UWA46" s="826"/>
      <c r="UWB46" s="1437"/>
      <c r="UWC46" s="1438"/>
      <c r="UWD46" s="198"/>
      <c r="UWE46" s="198"/>
      <c r="UWF46" s="198"/>
      <c r="UWG46" s="198"/>
      <c r="UWH46" s="198"/>
      <c r="UWI46" s="198"/>
      <c r="UWJ46" s="827"/>
      <c r="UWK46" s="198"/>
      <c r="UWL46" s="826"/>
      <c r="UWM46" s="1437"/>
      <c r="UWN46" s="1438"/>
      <c r="UWO46" s="198"/>
      <c r="UWP46" s="198"/>
      <c r="UWQ46" s="198"/>
      <c r="UWR46" s="198"/>
      <c r="UWS46" s="198"/>
      <c r="UWT46" s="198"/>
      <c r="UWU46" s="827"/>
      <c r="UWV46" s="198"/>
      <c r="UWW46" s="826"/>
      <c r="UWX46" s="1437"/>
      <c r="UWY46" s="1438"/>
      <c r="UWZ46" s="198"/>
      <c r="UXA46" s="198"/>
      <c r="UXB46" s="198"/>
      <c r="UXC46" s="198"/>
      <c r="UXD46" s="198"/>
      <c r="UXE46" s="198"/>
      <c r="UXF46" s="827"/>
      <c r="UXG46" s="198"/>
      <c r="UXH46" s="826"/>
      <c r="UXI46" s="1437"/>
      <c r="UXJ46" s="1438"/>
      <c r="UXK46" s="198"/>
      <c r="UXL46" s="198"/>
      <c r="UXM46" s="198"/>
      <c r="UXN46" s="198"/>
      <c r="UXO46" s="198"/>
      <c r="UXP46" s="198"/>
      <c r="UXQ46" s="827"/>
      <c r="UXR46" s="198"/>
      <c r="UXS46" s="826"/>
      <c r="UXT46" s="1437"/>
      <c r="UXU46" s="1438"/>
      <c r="UXV46" s="198"/>
      <c r="UXW46" s="198"/>
      <c r="UXX46" s="198"/>
      <c r="UXY46" s="198"/>
      <c r="UXZ46" s="198"/>
      <c r="UYA46" s="198"/>
      <c r="UYB46" s="827"/>
      <c r="UYC46" s="198"/>
      <c r="UYD46" s="826"/>
      <c r="UYE46" s="1437"/>
      <c r="UYF46" s="1438"/>
      <c r="UYG46" s="198"/>
      <c r="UYH46" s="198"/>
      <c r="UYI46" s="198"/>
      <c r="UYJ46" s="198"/>
      <c r="UYK46" s="198"/>
      <c r="UYL46" s="198"/>
      <c r="UYM46" s="827"/>
      <c r="UYN46" s="198"/>
      <c r="UYO46" s="826"/>
      <c r="UYP46" s="1437"/>
      <c r="UYQ46" s="1438"/>
      <c r="UYR46" s="198"/>
      <c r="UYS46" s="198"/>
      <c r="UYT46" s="198"/>
      <c r="UYU46" s="198"/>
      <c r="UYV46" s="198"/>
      <c r="UYW46" s="198"/>
      <c r="UYX46" s="827"/>
      <c r="UYY46" s="198"/>
      <c r="UYZ46" s="826"/>
      <c r="UZA46" s="1437"/>
      <c r="UZB46" s="1438"/>
      <c r="UZC46" s="198"/>
      <c r="UZD46" s="198"/>
      <c r="UZE46" s="198"/>
      <c r="UZF46" s="198"/>
      <c r="UZG46" s="198"/>
      <c r="UZH46" s="198"/>
      <c r="UZI46" s="827"/>
      <c r="UZJ46" s="198"/>
      <c r="UZK46" s="826"/>
      <c r="UZL46" s="1437"/>
      <c r="UZM46" s="1438"/>
      <c r="UZN46" s="198"/>
      <c r="UZO46" s="198"/>
      <c r="UZP46" s="198"/>
      <c r="UZQ46" s="198"/>
      <c r="UZR46" s="198"/>
      <c r="UZS46" s="198"/>
      <c r="UZT46" s="827"/>
      <c r="UZU46" s="198"/>
      <c r="UZV46" s="826"/>
      <c r="UZW46" s="1437"/>
      <c r="UZX46" s="1438"/>
      <c r="UZY46" s="198"/>
      <c r="UZZ46" s="198"/>
      <c r="VAA46" s="198"/>
      <c r="VAB46" s="198"/>
      <c r="VAC46" s="198"/>
      <c r="VAD46" s="198"/>
      <c r="VAE46" s="827"/>
      <c r="VAF46" s="198"/>
      <c r="VAG46" s="826"/>
      <c r="VAH46" s="1437"/>
      <c r="VAI46" s="1438"/>
      <c r="VAJ46" s="198"/>
      <c r="VAK46" s="198"/>
      <c r="VAL46" s="198"/>
      <c r="VAM46" s="198"/>
      <c r="VAN46" s="198"/>
      <c r="VAO46" s="198"/>
      <c r="VAP46" s="827"/>
      <c r="VAQ46" s="198"/>
      <c r="VAR46" s="826"/>
      <c r="VAS46" s="1437"/>
      <c r="VAT46" s="1438"/>
      <c r="VAU46" s="198"/>
      <c r="VAV46" s="198"/>
      <c r="VAW46" s="198"/>
      <c r="VAX46" s="198"/>
      <c r="VAY46" s="198"/>
      <c r="VAZ46" s="198"/>
      <c r="VBA46" s="827"/>
      <c r="VBB46" s="198"/>
      <c r="VBC46" s="826"/>
      <c r="VBD46" s="1437"/>
      <c r="VBE46" s="1438"/>
      <c r="VBF46" s="198"/>
      <c r="VBG46" s="198"/>
      <c r="VBH46" s="198"/>
      <c r="VBI46" s="198"/>
      <c r="VBJ46" s="198"/>
      <c r="VBK46" s="198"/>
      <c r="VBL46" s="827"/>
      <c r="VBM46" s="198"/>
      <c r="VBN46" s="826"/>
      <c r="VBO46" s="1437"/>
      <c r="VBP46" s="1438"/>
      <c r="VBQ46" s="198"/>
      <c r="VBR46" s="198"/>
      <c r="VBS46" s="198"/>
      <c r="VBT46" s="198"/>
      <c r="VBU46" s="198"/>
      <c r="VBV46" s="198"/>
      <c r="VBW46" s="827"/>
      <c r="VBX46" s="198"/>
      <c r="VBY46" s="826"/>
      <c r="VBZ46" s="1437"/>
      <c r="VCA46" s="1438"/>
      <c r="VCB46" s="198"/>
      <c r="VCC46" s="198"/>
      <c r="VCD46" s="198"/>
      <c r="VCE46" s="198"/>
      <c r="VCF46" s="198"/>
      <c r="VCG46" s="198"/>
      <c r="VCH46" s="827"/>
      <c r="VCI46" s="198"/>
      <c r="VCJ46" s="826"/>
      <c r="VCK46" s="1437"/>
      <c r="VCL46" s="1438"/>
      <c r="VCM46" s="198"/>
      <c r="VCN46" s="198"/>
      <c r="VCO46" s="198"/>
      <c r="VCP46" s="198"/>
      <c r="VCQ46" s="198"/>
      <c r="VCR46" s="198"/>
      <c r="VCS46" s="827"/>
      <c r="VCT46" s="198"/>
      <c r="VCU46" s="826"/>
      <c r="VCV46" s="1437"/>
      <c r="VCW46" s="1438"/>
      <c r="VCX46" s="198"/>
      <c r="VCY46" s="198"/>
      <c r="VCZ46" s="198"/>
      <c r="VDA46" s="198"/>
      <c r="VDB46" s="198"/>
      <c r="VDC46" s="198"/>
      <c r="VDD46" s="827"/>
      <c r="VDE46" s="198"/>
      <c r="VDF46" s="826"/>
      <c r="VDG46" s="1437"/>
      <c r="VDH46" s="1438"/>
      <c r="VDI46" s="198"/>
      <c r="VDJ46" s="198"/>
      <c r="VDK46" s="198"/>
      <c r="VDL46" s="198"/>
      <c r="VDM46" s="198"/>
      <c r="VDN46" s="198"/>
      <c r="VDO46" s="827"/>
      <c r="VDP46" s="198"/>
      <c r="VDQ46" s="826"/>
      <c r="VDR46" s="1437"/>
      <c r="VDS46" s="1438"/>
      <c r="VDT46" s="198"/>
      <c r="VDU46" s="198"/>
      <c r="VDV46" s="198"/>
      <c r="VDW46" s="198"/>
      <c r="VDX46" s="198"/>
      <c r="VDY46" s="198"/>
      <c r="VDZ46" s="827"/>
      <c r="VEA46" s="198"/>
      <c r="VEB46" s="826"/>
      <c r="VEC46" s="1437"/>
      <c r="VED46" s="1438"/>
      <c r="VEE46" s="198"/>
      <c r="VEF46" s="198"/>
      <c r="VEG46" s="198"/>
      <c r="VEH46" s="198"/>
      <c r="VEI46" s="198"/>
      <c r="VEJ46" s="198"/>
      <c r="VEK46" s="827"/>
      <c r="VEL46" s="198"/>
      <c r="VEM46" s="826"/>
      <c r="VEN46" s="1437"/>
      <c r="VEO46" s="1438"/>
      <c r="VEP46" s="198"/>
      <c r="VEQ46" s="198"/>
      <c r="VER46" s="198"/>
      <c r="VES46" s="198"/>
      <c r="VET46" s="198"/>
      <c r="VEU46" s="198"/>
      <c r="VEV46" s="827"/>
      <c r="VEW46" s="198"/>
      <c r="VEX46" s="826"/>
      <c r="VEY46" s="1437"/>
      <c r="VEZ46" s="1438"/>
      <c r="VFA46" s="198"/>
      <c r="VFB46" s="198"/>
      <c r="VFC46" s="198"/>
      <c r="VFD46" s="198"/>
      <c r="VFE46" s="198"/>
      <c r="VFF46" s="198"/>
      <c r="VFG46" s="827"/>
      <c r="VFH46" s="198"/>
      <c r="VFI46" s="826"/>
      <c r="VFJ46" s="1437"/>
      <c r="VFK46" s="1438"/>
      <c r="VFL46" s="198"/>
      <c r="VFM46" s="198"/>
      <c r="VFN46" s="198"/>
      <c r="VFO46" s="198"/>
      <c r="VFP46" s="198"/>
      <c r="VFQ46" s="198"/>
      <c r="VFR46" s="827"/>
      <c r="VFS46" s="198"/>
      <c r="VFT46" s="826"/>
      <c r="VFU46" s="1437"/>
      <c r="VFV46" s="1438"/>
      <c r="VFW46" s="198"/>
      <c r="VFX46" s="198"/>
      <c r="VFY46" s="198"/>
      <c r="VFZ46" s="198"/>
      <c r="VGA46" s="198"/>
      <c r="VGB46" s="198"/>
      <c r="VGC46" s="827"/>
      <c r="VGD46" s="198"/>
      <c r="VGE46" s="826"/>
      <c r="VGF46" s="1437"/>
      <c r="VGG46" s="1438"/>
      <c r="VGH46" s="198"/>
      <c r="VGI46" s="198"/>
      <c r="VGJ46" s="198"/>
      <c r="VGK46" s="198"/>
      <c r="VGL46" s="198"/>
      <c r="VGM46" s="198"/>
      <c r="VGN46" s="827"/>
      <c r="VGO46" s="198"/>
      <c r="VGP46" s="826"/>
      <c r="VGQ46" s="1437"/>
      <c r="VGR46" s="1438"/>
      <c r="VGS46" s="198"/>
      <c r="VGT46" s="198"/>
      <c r="VGU46" s="198"/>
      <c r="VGV46" s="198"/>
      <c r="VGW46" s="198"/>
      <c r="VGX46" s="198"/>
      <c r="VGY46" s="827"/>
      <c r="VGZ46" s="198"/>
      <c r="VHA46" s="826"/>
      <c r="VHB46" s="1437"/>
      <c r="VHC46" s="1438"/>
      <c r="VHD46" s="198"/>
      <c r="VHE46" s="198"/>
      <c r="VHF46" s="198"/>
      <c r="VHG46" s="198"/>
      <c r="VHH46" s="198"/>
      <c r="VHI46" s="198"/>
      <c r="VHJ46" s="827"/>
      <c r="VHK46" s="198"/>
      <c r="VHL46" s="826"/>
      <c r="VHM46" s="1437"/>
      <c r="VHN46" s="1438"/>
      <c r="VHO46" s="198"/>
      <c r="VHP46" s="198"/>
      <c r="VHQ46" s="198"/>
      <c r="VHR46" s="198"/>
      <c r="VHS46" s="198"/>
      <c r="VHT46" s="198"/>
      <c r="VHU46" s="827"/>
      <c r="VHV46" s="198"/>
      <c r="VHW46" s="826"/>
      <c r="VHX46" s="1437"/>
      <c r="VHY46" s="1438"/>
      <c r="VHZ46" s="198"/>
      <c r="VIA46" s="198"/>
      <c r="VIB46" s="198"/>
      <c r="VIC46" s="198"/>
      <c r="VID46" s="198"/>
      <c r="VIE46" s="198"/>
      <c r="VIF46" s="827"/>
      <c r="VIG46" s="198"/>
      <c r="VIH46" s="826"/>
      <c r="VII46" s="1437"/>
      <c r="VIJ46" s="1438"/>
      <c r="VIK46" s="198"/>
      <c r="VIL46" s="198"/>
      <c r="VIM46" s="198"/>
      <c r="VIN46" s="198"/>
      <c r="VIO46" s="198"/>
      <c r="VIP46" s="198"/>
      <c r="VIQ46" s="827"/>
      <c r="VIR46" s="198"/>
      <c r="VIS46" s="826"/>
      <c r="VIT46" s="1437"/>
      <c r="VIU46" s="1438"/>
      <c r="VIV46" s="198"/>
      <c r="VIW46" s="198"/>
      <c r="VIX46" s="198"/>
      <c r="VIY46" s="198"/>
      <c r="VIZ46" s="198"/>
      <c r="VJA46" s="198"/>
      <c r="VJB46" s="827"/>
      <c r="VJC46" s="198"/>
      <c r="VJD46" s="826"/>
      <c r="VJE46" s="1437"/>
      <c r="VJF46" s="1438"/>
      <c r="VJG46" s="198"/>
      <c r="VJH46" s="198"/>
      <c r="VJI46" s="198"/>
      <c r="VJJ46" s="198"/>
      <c r="VJK46" s="198"/>
      <c r="VJL46" s="198"/>
      <c r="VJM46" s="827"/>
      <c r="VJN46" s="198"/>
      <c r="VJO46" s="826"/>
      <c r="VJP46" s="1437"/>
      <c r="VJQ46" s="1438"/>
      <c r="VJR46" s="198"/>
      <c r="VJS46" s="198"/>
      <c r="VJT46" s="198"/>
      <c r="VJU46" s="198"/>
      <c r="VJV46" s="198"/>
      <c r="VJW46" s="198"/>
      <c r="VJX46" s="827"/>
      <c r="VJY46" s="198"/>
      <c r="VJZ46" s="826"/>
      <c r="VKA46" s="1437"/>
      <c r="VKB46" s="1438"/>
      <c r="VKC46" s="198"/>
      <c r="VKD46" s="198"/>
      <c r="VKE46" s="198"/>
      <c r="VKF46" s="198"/>
      <c r="VKG46" s="198"/>
      <c r="VKH46" s="198"/>
      <c r="VKI46" s="827"/>
      <c r="VKJ46" s="198"/>
      <c r="VKK46" s="826"/>
      <c r="VKL46" s="1437"/>
      <c r="VKM46" s="1438"/>
      <c r="VKN46" s="198"/>
      <c r="VKO46" s="198"/>
      <c r="VKP46" s="198"/>
      <c r="VKQ46" s="198"/>
      <c r="VKR46" s="198"/>
      <c r="VKS46" s="198"/>
      <c r="VKT46" s="827"/>
      <c r="VKU46" s="198"/>
      <c r="VKV46" s="826"/>
      <c r="VKW46" s="1437"/>
      <c r="VKX46" s="1438"/>
      <c r="VKY46" s="198"/>
      <c r="VKZ46" s="198"/>
      <c r="VLA46" s="198"/>
      <c r="VLB46" s="198"/>
      <c r="VLC46" s="198"/>
      <c r="VLD46" s="198"/>
      <c r="VLE46" s="827"/>
      <c r="VLF46" s="198"/>
      <c r="VLG46" s="826"/>
      <c r="VLH46" s="1437"/>
      <c r="VLI46" s="1438"/>
      <c r="VLJ46" s="198"/>
      <c r="VLK46" s="198"/>
      <c r="VLL46" s="198"/>
      <c r="VLM46" s="198"/>
      <c r="VLN46" s="198"/>
      <c r="VLO46" s="198"/>
      <c r="VLP46" s="827"/>
      <c r="VLQ46" s="198"/>
      <c r="VLR46" s="826"/>
      <c r="VLS46" s="1437"/>
      <c r="VLT46" s="1438"/>
      <c r="VLU46" s="198"/>
      <c r="VLV46" s="198"/>
      <c r="VLW46" s="198"/>
      <c r="VLX46" s="198"/>
      <c r="VLY46" s="198"/>
      <c r="VLZ46" s="198"/>
      <c r="VMA46" s="827"/>
      <c r="VMB46" s="198"/>
      <c r="VMC46" s="826"/>
      <c r="VMD46" s="1437"/>
      <c r="VME46" s="1438"/>
      <c r="VMF46" s="198"/>
      <c r="VMG46" s="198"/>
      <c r="VMH46" s="198"/>
      <c r="VMI46" s="198"/>
      <c r="VMJ46" s="198"/>
      <c r="VMK46" s="198"/>
      <c r="VML46" s="827"/>
      <c r="VMM46" s="198"/>
      <c r="VMN46" s="826"/>
      <c r="VMO46" s="1437"/>
      <c r="VMP46" s="1438"/>
      <c r="VMQ46" s="198"/>
      <c r="VMR46" s="198"/>
      <c r="VMS46" s="198"/>
      <c r="VMT46" s="198"/>
      <c r="VMU46" s="198"/>
      <c r="VMV46" s="198"/>
      <c r="VMW46" s="827"/>
      <c r="VMX46" s="198"/>
      <c r="VMY46" s="826"/>
      <c r="VMZ46" s="1437"/>
      <c r="VNA46" s="1438"/>
      <c r="VNB46" s="198"/>
      <c r="VNC46" s="198"/>
      <c r="VND46" s="198"/>
      <c r="VNE46" s="198"/>
      <c r="VNF46" s="198"/>
      <c r="VNG46" s="198"/>
      <c r="VNH46" s="827"/>
      <c r="VNI46" s="198"/>
      <c r="VNJ46" s="826"/>
      <c r="VNK46" s="1437"/>
      <c r="VNL46" s="1438"/>
      <c r="VNM46" s="198"/>
      <c r="VNN46" s="198"/>
      <c r="VNO46" s="198"/>
      <c r="VNP46" s="198"/>
      <c r="VNQ46" s="198"/>
      <c r="VNR46" s="198"/>
      <c r="VNS46" s="827"/>
      <c r="VNT46" s="198"/>
      <c r="VNU46" s="826"/>
      <c r="VNV46" s="1437"/>
      <c r="VNW46" s="1438"/>
      <c r="VNX46" s="198"/>
      <c r="VNY46" s="198"/>
      <c r="VNZ46" s="198"/>
      <c r="VOA46" s="198"/>
      <c r="VOB46" s="198"/>
      <c r="VOC46" s="198"/>
      <c r="VOD46" s="827"/>
      <c r="VOE46" s="198"/>
      <c r="VOF46" s="826"/>
      <c r="VOG46" s="1437"/>
      <c r="VOH46" s="1438"/>
      <c r="VOI46" s="198"/>
      <c r="VOJ46" s="198"/>
      <c r="VOK46" s="198"/>
      <c r="VOL46" s="198"/>
      <c r="VOM46" s="198"/>
      <c r="VON46" s="198"/>
      <c r="VOO46" s="827"/>
      <c r="VOP46" s="198"/>
      <c r="VOQ46" s="826"/>
      <c r="VOR46" s="1437"/>
      <c r="VOS46" s="1438"/>
      <c r="VOT46" s="198"/>
      <c r="VOU46" s="198"/>
      <c r="VOV46" s="198"/>
      <c r="VOW46" s="198"/>
      <c r="VOX46" s="198"/>
      <c r="VOY46" s="198"/>
      <c r="VOZ46" s="827"/>
      <c r="VPA46" s="198"/>
      <c r="VPB46" s="826"/>
      <c r="VPC46" s="1437"/>
      <c r="VPD46" s="1438"/>
      <c r="VPE46" s="198"/>
      <c r="VPF46" s="198"/>
      <c r="VPG46" s="198"/>
      <c r="VPH46" s="198"/>
      <c r="VPI46" s="198"/>
      <c r="VPJ46" s="198"/>
      <c r="VPK46" s="827"/>
      <c r="VPL46" s="198"/>
      <c r="VPM46" s="826"/>
      <c r="VPN46" s="1437"/>
      <c r="VPO46" s="1438"/>
      <c r="VPP46" s="198"/>
      <c r="VPQ46" s="198"/>
      <c r="VPR46" s="198"/>
      <c r="VPS46" s="198"/>
      <c r="VPT46" s="198"/>
      <c r="VPU46" s="198"/>
      <c r="VPV46" s="827"/>
      <c r="VPW46" s="198"/>
      <c r="VPX46" s="826"/>
      <c r="VPY46" s="1437"/>
      <c r="VPZ46" s="1438"/>
      <c r="VQA46" s="198"/>
      <c r="VQB46" s="198"/>
      <c r="VQC46" s="198"/>
      <c r="VQD46" s="198"/>
      <c r="VQE46" s="198"/>
      <c r="VQF46" s="198"/>
      <c r="VQG46" s="827"/>
      <c r="VQH46" s="198"/>
      <c r="VQI46" s="826"/>
      <c r="VQJ46" s="1437"/>
      <c r="VQK46" s="1438"/>
      <c r="VQL46" s="198"/>
      <c r="VQM46" s="198"/>
      <c r="VQN46" s="198"/>
      <c r="VQO46" s="198"/>
      <c r="VQP46" s="198"/>
      <c r="VQQ46" s="198"/>
      <c r="VQR46" s="827"/>
      <c r="VQS46" s="198"/>
      <c r="VQT46" s="826"/>
      <c r="VQU46" s="1437"/>
      <c r="VQV46" s="1438"/>
      <c r="VQW46" s="198"/>
      <c r="VQX46" s="198"/>
      <c r="VQY46" s="198"/>
      <c r="VQZ46" s="198"/>
      <c r="VRA46" s="198"/>
      <c r="VRB46" s="198"/>
      <c r="VRC46" s="827"/>
      <c r="VRD46" s="198"/>
      <c r="VRE46" s="826"/>
      <c r="VRF46" s="1437"/>
      <c r="VRG46" s="1438"/>
      <c r="VRH46" s="198"/>
      <c r="VRI46" s="198"/>
      <c r="VRJ46" s="198"/>
      <c r="VRK46" s="198"/>
      <c r="VRL46" s="198"/>
      <c r="VRM46" s="198"/>
      <c r="VRN46" s="827"/>
      <c r="VRO46" s="198"/>
      <c r="VRP46" s="826"/>
      <c r="VRQ46" s="1437"/>
      <c r="VRR46" s="1438"/>
      <c r="VRS46" s="198"/>
      <c r="VRT46" s="198"/>
      <c r="VRU46" s="198"/>
      <c r="VRV46" s="198"/>
      <c r="VRW46" s="198"/>
      <c r="VRX46" s="198"/>
      <c r="VRY46" s="827"/>
      <c r="VRZ46" s="198"/>
      <c r="VSA46" s="826"/>
      <c r="VSB46" s="1437"/>
      <c r="VSC46" s="1438"/>
      <c r="VSD46" s="198"/>
      <c r="VSE46" s="198"/>
      <c r="VSF46" s="198"/>
      <c r="VSG46" s="198"/>
      <c r="VSH46" s="198"/>
      <c r="VSI46" s="198"/>
      <c r="VSJ46" s="827"/>
      <c r="VSK46" s="198"/>
      <c r="VSL46" s="826"/>
      <c r="VSM46" s="1437"/>
      <c r="VSN46" s="1438"/>
      <c r="VSO46" s="198"/>
      <c r="VSP46" s="198"/>
      <c r="VSQ46" s="198"/>
      <c r="VSR46" s="198"/>
      <c r="VSS46" s="198"/>
      <c r="VST46" s="198"/>
      <c r="VSU46" s="827"/>
      <c r="VSV46" s="198"/>
      <c r="VSW46" s="826"/>
      <c r="VSX46" s="1437"/>
      <c r="VSY46" s="1438"/>
      <c r="VSZ46" s="198"/>
      <c r="VTA46" s="198"/>
      <c r="VTB46" s="198"/>
      <c r="VTC46" s="198"/>
      <c r="VTD46" s="198"/>
      <c r="VTE46" s="198"/>
      <c r="VTF46" s="827"/>
      <c r="VTG46" s="198"/>
      <c r="VTH46" s="826"/>
      <c r="VTI46" s="1437"/>
      <c r="VTJ46" s="1438"/>
      <c r="VTK46" s="198"/>
      <c r="VTL46" s="198"/>
      <c r="VTM46" s="198"/>
      <c r="VTN46" s="198"/>
      <c r="VTO46" s="198"/>
      <c r="VTP46" s="198"/>
      <c r="VTQ46" s="827"/>
      <c r="VTR46" s="198"/>
      <c r="VTS46" s="826"/>
      <c r="VTT46" s="1437"/>
      <c r="VTU46" s="1438"/>
      <c r="VTV46" s="198"/>
      <c r="VTW46" s="198"/>
      <c r="VTX46" s="198"/>
      <c r="VTY46" s="198"/>
      <c r="VTZ46" s="198"/>
      <c r="VUA46" s="198"/>
      <c r="VUB46" s="827"/>
      <c r="VUC46" s="198"/>
      <c r="VUD46" s="826"/>
      <c r="VUE46" s="1437"/>
      <c r="VUF46" s="1438"/>
      <c r="VUG46" s="198"/>
      <c r="VUH46" s="198"/>
      <c r="VUI46" s="198"/>
      <c r="VUJ46" s="198"/>
      <c r="VUK46" s="198"/>
      <c r="VUL46" s="198"/>
      <c r="VUM46" s="827"/>
      <c r="VUN46" s="198"/>
      <c r="VUO46" s="826"/>
      <c r="VUP46" s="1437"/>
      <c r="VUQ46" s="1438"/>
      <c r="VUR46" s="198"/>
      <c r="VUS46" s="198"/>
      <c r="VUT46" s="198"/>
      <c r="VUU46" s="198"/>
      <c r="VUV46" s="198"/>
      <c r="VUW46" s="198"/>
      <c r="VUX46" s="827"/>
      <c r="VUY46" s="198"/>
      <c r="VUZ46" s="826"/>
      <c r="VVA46" s="1437"/>
      <c r="VVB46" s="1438"/>
      <c r="VVC46" s="198"/>
      <c r="VVD46" s="198"/>
      <c r="VVE46" s="198"/>
      <c r="VVF46" s="198"/>
      <c r="VVG46" s="198"/>
      <c r="VVH46" s="198"/>
      <c r="VVI46" s="827"/>
      <c r="VVJ46" s="198"/>
      <c r="VVK46" s="826"/>
      <c r="VVL46" s="1437"/>
      <c r="VVM46" s="1438"/>
      <c r="VVN46" s="198"/>
      <c r="VVO46" s="198"/>
      <c r="VVP46" s="198"/>
      <c r="VVQ46" s="198"/>
      <c r="VVR46" s="198"/>
      <c r="VVS46" s="198"/>
      <c r="VVT46" s="827"/>
      <c r="VVU46" s="198"/>
      <c r="VVV46" s="826"/>
      <c r="VVW46" s="1437"/>
      <c r="VVX46" s="1438"/>
      <c r="VVY46" s="198"/>
      <c r="VVZ46" s="198"/>
      <c r="VWA46" s="198"/>
      <c r="VWB46" s="198"/>
      <c r="VWC46" s="198"/>
      <c r="VWD46" s="198"/>
      <c r="VWE46" s="827"/>
      <c r="VWF46" s="198"/>
      <c r="VWG46" s="826"/>
      <c r="VWH46" s="1437"/>
      <c r="VWI46" s="1438"/>
      <c r="VWJ46" s="198"/>
      <c r="VWK46" s="198"/>
      <c r="VWL46" s="198"/>
      <c r="VWM46" s="198"/>
      <c r="VWN46" s="198"/>
      <c r="VWO46" s="198"/>
      <c r="VWP46" s="827"/>
      <c r="VWQ46" s="198"/>
      <c r="VWR46" s="826"/>
      <c r="VWS46" s="1437"/>
      <c r="VWT46" s="1438"/>
      <c r="VWU46" s="198"/>
      <c r="VWV46" s="198"/>
      <c r="VWW46" s="198"/>
      <c r="VWX46" s="198"/>
      <c r="VWY46" s="198"/>
      <c r="VWZ46" s="198"/>
      <c r="VXA46" s="827"/>
      <c r="VXB46" s="198"/>
      <c r="VXC46" s="826"/>
      <c r="VXD46" s="1437"/>
      <c r="VXE46" s="1438"/>
      <c r="VXF46" s="198"/>
      <c r="VXG46" s="198"/>
      <c r="VXH46" s="198"/>
      <c r="VXI46" s="198"/>
      <c r="VXJ46" s="198"/>
      <c r="VXK46" s="198"/>
      <c r="VXL46" s="827"/>
      <c r="VXM46" s="198"/>
      <c r="VXN46" s="826"/>
      <c r="VXO46" s="1437"/>
      <c r="VXP46" s="1438"/>
      <c r="VXQ46" s="198"/>
      <c r="VXR46" s="198"/>
      <c r="VXS46" s="198"/>
      <c r="VXT46" s="198"/>
      <c r="VXU46" s="198"/>
      <c r="VXV46" s="198"/>
      <c r="VXW46" s="827"/>
      <c r="VXX46" s="198"/>
      <c r="VXY46" s="826"/>
      <c r="VXZ46" s="1437"/>
      <c r="VYA46" s="1438"/>
      <c r="VYB46" s="198"/>
      <c r="VYC46" s="198"/>
      <c r="VYD46" s="198"/>
      <c r="VYE46" s="198"/>
      <c r="VYF46" s="198"/>
      <c r="VYG46" s="198"/>
      <c r="VYH46" s="827"/>
      <c r="VYI46" s="198"/>
      <c r="VYJ46" s="826"/>
      <c r="VYK46" s="1437"/>
      <c r="VYL46" s="1438"/>
      <c r="VYM46" s="198"/>
      <c r="VYN46" s="198"/>
      <c r="VYO46" s="198"/>
      <c r="VYP46" s="198"/>
      <c r="VYQ46" s="198"/>
      <c r="VYR46" s="198"/>
      <c r="VYS46" s="827"/>
      <c r="VYT46" s="198"/>
      <c r="VYU46" s="826"/>
      <c r="VYV46" s="1437"/>
      <c r="VYW46" s="1438"/>
      <c r="VYX46" s="198"/>
      <c r="VYY46" s="198"/>
      <c r="VYZ46" s="198"/>
      <c r="VZA46" s="198"/>
      <c r="VZB46" s="198"/>
      <c r="VZC46" s="198"/>
      <c r="VZD46" s="827"/>
      <c r="VZE46" s="198"/>
      <c r="VZF46" s="826"/>
      <c r="VZG46" s="1437"/>
      <c r="VZH46" s="1438"/>
      <c r="VZI46" s="198"/>
      <c r="VZJ46" s="198"/>
      <c r="VZK46" s="198"/>
      <c r="VZL46" s="198"/>
      <c r="VZM46" s="198"/>
      <c r="VZN46" s="198"/>
      <c r="VZO46" s="827"/>
      <c r="VZP46" s="198"/>
      <c r="VZQ46" s="826"/>
      <c r="VZR46" s="1437"/>
      <c r="VZS46" s="1438"/>
      <c r="VZT46" s="198"/>
      <c r="VZU46" s="198"/>
      <c r="VZV46" s="198"/>
      <c r="VZW46" s="198"/>
      <c r="VZX46" s="198"/>
      <c r="VZY46" s="198"/>
      <c r="VZZ46" s="827"/>
      <c r="WAA46" s="198"/>
      <c r="WAB46" s="826"/>
      <c r="WAC46" s="1437"/>
      <c r="WAD46" s="1438"/>
      <c r="WAE46" s="198"/>
      <c r="WAF46" s="198"/>
      <c r="WAG46" s="198"/>
      <c r="WAH46" s="198"/>
      <c r="WAI46" s="198"/>
      <c r="WAJ46" s="198"/>
      <c r="WAK46" s="827"/>
      <c r="WAL46" s="198"/>
      <c r="WAM46" s="826"/>
      <c r="WAN46" s="1437"/>
      <c r="WAO46" s="1438"/>
      <c r="WAP46" s="198"/>
      <c r="WAQ46" s="198"/>
      <c r="WAR46" s="198"/>
      <c r="WAS46" s="198"/>
      <c r="WAT46" s="198"/>
      <c r="WAU46" s="198"/>
      <c r="WAV46" s="827"/>
      <c r="WAW46" s="198"/>
      <c r="WAX46" s="826"/>
      <c r="WAY46" s="1437"/>
      <c r="WAZ46" s="1438"/>
      <c r="WBA46" s="198"/>
      <c r="WBB46" s="198"/>
      <c r="WBC46" s="198"/>
      <c r="WBD46" s="198"/>
      <c r="WBE46" s="198"/>
      <c r="WBF46" s="198"/>
      <c r="WBG46" s="827"/>
      <c r="WBH46" s="198"/>
      <c r="WBI46" s="826"/>
      <c r="WBJ46" s="1437"/>
      <c r="WBK46" s="1438"/>
      <c r="WBL46" s="198"/>
      <c r="WBM46" s="198"/>
      <c r="WBN46" s="198"/>
      <c r="WBO46" s="198"/>
      <c r="WBP46" s="198"/>
      <c r="WBQ46" s="198"/>
      <c r="WBR46" s="827"/>
      <c r="WBS46" s="198"/>
      <c r="WBT46" s="826"/>
      <c r="WBU46" s="1437"/>
      <c r="WBV46" s="1438"/>
      <c r="WBW46" s="198"/>
      <c r="WBX46" s="198"/>
      <c r="WBY46" s="198"/>
      <c r="WBZ46" s="198"/>
      <c r="WCA46" s="198"/>
      <c r="WCB46" s="198"/>
      <c r="WCC46" s="827"/>
      <c r="WCD46" s="198"/>
      <c r="WCE46" s="826"/>
      <c r="WCF46" s="1437"/>
      <c r="WCG46" s="1438"/>
      <c r="WCH46" s="198"/>
      <c r="WCI46" s="198"/>
      <c r="WCJ46" s="198"/>
      <c r="WCK46" s="198"/>
      <c r="WCL46" s="198"/>
      <c r="WCM46" s="198"/>
      <c r="WCN46" s="827"/>
      <c r="WCO46" s="198"/>
      <c r="WCP46" s="826"/>
      <c r="WCQ46" s="1437"/>
      <c r="WCR46" s="1438"/>
      <c r="WCS46" s="198"/>
      <c r="WCT46" s="198"/>
      <c r="WCU46" s="198"/>
      <c r="WCV46" s="198"/>
      <c r="WCW46" s="198"/>
      <c r="WCX46" s="198"/>
      <c r="WCY46" s="827"/>
      <c r="WCZ46" s="198"/>
      <c r="WDA46" s="826"/>
      <c r="WDB46" s="1437"/>
      <c r="WDC46" s="1438"/>
      <c r="WDD46" s="198"/>
      <c r="WDE46" s="198"/>
      <c r="WDF46" s="198"/>
      <c r="WDG46" s="198"/>
      <c r="WDH46" s="198"/>
      <c r="WDI46" s="198"/>
      <c r="WDJ46" s="827"/>
      <c r="WDK46" s="198"/>
      <c r="WDL46" s="826"/>
      <c r="WDM46" s="1437"/>
      <c r="WDN46" s="1438"/>
      <c r="WDO46" s="198"/>
      <c r="WDP46" s="198"/>
      <c r="WDQ46" s="198"/>
      <c r="WDR46" s="198"/>
      <c r="WDS46" s="198"/>
      <c r="WDT46" s="198"/>
      <c r="WDU46" s="827"/>
      <c r="WDV46" s="198"/>
      <c r="WDW46" s="826"/>
      <c r="WDX46" s="1437"/>
      <c r="WDY46" s="1438"/>
      <c r="WDZ46" s="198"/>
      <c r="WEA46" s="198"/>
      <c r="WEB46" s="198"/>
      <c r="WEC46" s="198"/>
      <c r="WED46" s="198"/>
      <c r="WEE46" s="198"/>
      <c r="WEF46" s="827"/>
      <c r="WEG46" s="198"/>
      <c r="WEH46" s="826"/>
      <c r="WEI46" s="1437"/>
      <c r="WEJ46" s="1438"/>
      <c r="WEK46" s="198"/>
      <c r="WEL46" s="198"/>
      <c r="WEM46" s="198"/>
      <c r="WEN46" s="198"/>
      <c r="WEO46" s="198"/>
      <c r="WEP46" s="198"/>
      <c r="WEQ46" s="827"/>
      <c r="WER46" s="198"/>
      <c r="WES46" s="826"/>
      <c r="WET46" s="1437"/>
      <c r="WEU46" s="1438"/>
      <c r="WEV46" s="198"/>
      <c r="WEW46" s="198"/>
      <c r="WEX46" s="198"/>
      <c r="WEY46" s="198"/>
      <c r="WEZ46" s="198"/>
      <c r="WFA46" s="198"/>
      <c r="WFB46" s="827"/>
      <c r="WFC46" s="198"/>
      <c r="WFD46" s="826"/>
      <c r="WFE46" s="1437"/>
      <c r="WFF46" s="1438"/>
      <c r="WFG46" s="198"/>
      <c r="WFH46" s="198"/>
      <c r="WFI46" s="198"/>
      <c r="WFJ46" s="198"/>
      <c r="WFK46" s="198"/>
      <c r="WFL46" s="198"/>
      <c r="WFM46" s="827"/>
      <c r="WFN46" s="198"/>
      <c r="WFO46" s="826"/>
      <c r="WFP46" s="1437"/>
      <c r="WFQ46" s="1438"/>
      <c r="WFR46" s="198"/>
      <c r="WFS46" s="198"/>
      <c r="WFT46" s="198"/>
      <c r="WFU46" s="198"/>
      <c r="WFV46" s="198"/>
      <c r="WFW46" s="198"/>
      <c r="WFX46" s="827"/>
      <c r="WFY46" s="198"/>
      <c r="WFZ46" s="826"/>
      <c r="WGA46" s="1437"/>
      <c r="WGB46" s="1438"/>
      <c r="WGC46" s="198"/>
      <c r="WGD46" s="198"/>
      <c r="WGE46" s="198"/>
      <c r="WGF46" s="198"/>
      <c r="WGG46" s="198"/>
      <c r="WGH46" s="198"/>
      <c r="WGI46" s="827"/>
      <c r="WGJ46" s="198"/>
      <c r="WGK46" s="826"/>
      <c r="WGL46" s="1437"/>
      <c r="WGM46" s="1438"/>
      <c r="WGN46" s="198"/>
      <c r="WGO46" s="198"/>
      <c r="WGP46" s="198"/>
      <c r="WGQ46" s="198"/>
      <c r="WGR46" s="198"/>
      <c r="WGS46" s="198"/>
      <c r="WGT46" s="827"/>
      <c r="WGU46" s="198"/>
      <c r="WGV46" s="826"/>
      <c r="WGW46" s="1437"/>
      <c r="WGX46" s="1438"/>
      <c r="WGY46" s="198"/>
      <c r="WGZ46" s="198"/>
      <c r="WHA46" s="198"/>
      <c r="WHB46" s="198"/>
      <c r="WHC46" s="198"/>
      <c r="WHD46" s="198"/>
      <c r="WHE46" s="827"/>
      <c r="WHF46" s="198"/>
      <c r="WHG46" s="826"/>
      <c r="WHH46" s="1437"/>
      <c r="WHI46" s="1438"/>
      <c r="WHJ46" s="198"/>
      <c r="WHK46" s="198"/>
      <c r="WHL46" s="198"/>
      <c r="WHM46" s="198"/>
      <c r="WHN46" s="198"/>
      <c r="WHO46" s="198"/>
      <c r="WHP46" s="827"/>
      <c r="WHQ46" s="198"/>
      <c r="WHR46" s="826"/>
      <c r="WHS46" s="1437"/>
      <c r="WHT46" s="1438"/>
      <c r="WHU46" s="198"/>
      <c r="WHV46" s="198"/>
      <c r="WHW46" s="198"/>
      <c r="WHX46" s="198"/>
      <c r="WHY46" s="198"/>
      <c r="WHZ46" s="198"/>
      <c r="WIA46" s="827"/>
      <c r="WIB46" s="198"/>
      <c r="WIC46" s="826"/>
      <c r="WID46" s="1437"/>
      <c r="WIE46" s="1438"/>
      <c r="WIF46" s="198"/>
      <c r="WIG46" s="198"/>
      <c r="WIH46" s="198"/>
      <c r="WII46" s="198"/>
      <c r="WIJ46" s="198"/>
      <c r="WIK46" s="198"/>
      <c r="WIL46" s="827"/>
      <c r="WIM46" s="198"/>
      <c r="WIN46" s="826"/>
      <c r="WIO46" s="1437"/>
      <c r="WIP46" s="1438"/>
      <c r="WIQ46" s="198"/>
      <c r="WIR46" s="198"/>
      <c r="WIS46" s="198"/>
      <c r="WIT46" s="198"/>
      <c r="WIU46" s="198"/>
      <c r="WIV46" s="198"/>
      <c r="WIW46" s="827"/>
      <c r="WIX46" s="198"/>
      <c r="WIY46" s="826"/>
      <c r="WIZ46" s="1437"/>
      <c r="WJA46" s="1438"/>
      <c r="WJB46" s="198"/>
      <c r="WJC46" s="198"/>
      <c r="WJD46" s="198"/>
      <c r="WJE46" s="198"/>
      <c r="WJF46" s="198"/>
      <c r="WJG46" s="198"/>
      <c r="WJH46" s="827"/>
      <c r="WJI46" s="198"/>
      <c r="WJJ46" s="826"/>
      <c r="WJK46" s="1437"/>
      <c r="WJL46" s="1438"/>
      <c r="WJM46" s="198"/>
      <c r="WJN46" s="198"/>
      <c r="WJO46" s="198"/>
      <c r="WJP46" s="198"/>
      <c r="WJQ46" s="198"/>
      <c r="WJR46" s="198"/>
      <c r="WJS46" s="827"/>
      <c r="WJT46" s="198"/>
      <c r="WJU46" s="826"/>
      <c r="WJV46" s="1437"/>
      <c r="WJW46" s="1438"/>
      <c r="WJX46" s="198"/>
      <c r="WJY46" s="198"/>
      <c r="WJZ46" s="198"/>
      <c r="WKA46" s="198"/>
      <c r="WKB46" s="198"/>
      <c r="WKC46" s="198"/>
      <c r="WKD46" s="827"/>
      <c r="WKE46" s="198"/>
      <c r="WKF46" s="826"/>
      <c r="WKG46" s="1437"/>
      <c r="WKH46" s="1438"/>
      <c r="WKI46" s="198"/>
      <c r="WKJ46" s="198"/>
      <c r="WKK46" s="198"/>
      <c r="WKL46" s="198"/>
      <c r="WKM46" s="198"/>
      <c r="WKN46" s="198"/>
      <c r="WKO46" s="827"/>
      <c r="WKP46" s="198"/>
      <c r="WKQ46" s="826"/>
      <c r="WKR46" s="1437"/>
      <c r="WKS46" s="1438"/>
      <c r="WKT46" s="198"/>
      <c r="WKU46" s="198"/>
      <c r="WKV46" s="198"/>
      <c r="WKW46" s="198"/>
      <c r="WKX46" s="198"/>
      <c r="WKY46" s="198"/>
      <c r="WKZ46" s="827"/>
      <c r="WLA46" s="198"/>
      <c r="WLB46" s="826"/>
      <c r="WLC46" s="1437"/>
      <c r="WLD46" s="1438"/>
      <c r="WLE46" s="198"/>
      <c r="WLF46" s="198"/>
      <c r="WLG46" s="198"/>
      <c r="WLH46" s="198"/>
      <c r="WLI46" s="198"/>
      <c r="WLJ46" s="198"/>
      <c r="WLK46" s="827"/>
      <c r="WLL46" s="198"/>
      <c r="WLM46" s="826"/>
      <c r="WLN46" s="1437"/>
      <c r="WLO46" s="1438"/>
      <c r="WLP46" s="198"/>
      <c r="WLQ46" s="198"/>
      <c r="WLR46" s="198"/>
      <c r="WLS46" s="198"/>
      <c r="WLT46" s="198"/>
      <c r="WLU46" s="198"/>
      <c r="WLV46" s="827"/>
      <c r="WLW46" s="198"/>
      <c r="WLX46" s="826"/>
      <c r="WLY46" s="1437"/>
      <c r="WLZ46" s="1438"/>
      <c r="WMA46" s="198"/>
      <c r="WMB46" s="198"/>
      <c r="WMC46" s="198"/>
      <c r="WMD46" s="198"/>
      <c r="WME46" s="198"/>
      <c r="WMF46" s="198"/>
      <c r="WMG46" s="827"/>
      <c r="WMH46" s="198"/>
      <c r="WMI46" s="826"/>
      <c r="WMJ46" s="1437"/>
      <c r="WMK46" s="1438"/>
      <c r="WML46" s="198"/>
      <c r="WMM46" s="198"/>
      <c r="WMN46" s="198"/>
      <c r="WMO46" s="198"/>
      <c r="WMP46" s="198"/>
      <c r="WMQ46" s="198"/>
      <c r="WMR46" s="827"/>
      <c r="WMS46" s="198"/>
      <c r="WMT46" s="826"/>
      <c r="WMU46" s="1437"/>
      <c r="WMV46" s="1438"/>
      <c r="WMW46" s="198"/>
      <c r="WMX46" s="198"/>
      <c r="WMY46" s="198"/>
      <c r="WMZ46" s="198"/>
      <c r="WNA46" s="198"/>
      <c r="WNB46" s="198"/>
      <c r="WNC46" s="827"/>
      <c r="WND46" s="198"/>
      <c r="WNE46" s="826"/>
      <c r="WNF46" s="1437"/>
      <c r="WNG46" s="1438"/>
      <c r="WNH46" s="198"/>
      <c r="WNI46" s="198"/>
      <c r="WNJ46" s="198"/>
      <c r="WNK46" s="198"/>
      <c r="WNL46" s="198"/>
      <c r="WNM46" s="198"/>
      <c r="WNN46" s="827"/>
      <c r="WNO46" s="198"/>
      <c r="WNP46" s="826"/>
      <c r="WNQ46" s="1437"/>
      <c r="WNR46" s="1438"/>
      <c r="WNS46" s="198"/>
      <c r="WNT46" s="198"/>
      <c r="WNU46" s="198"/>
      <c r="WNV46" s="198"/>
      <c r="WNW46" s="198"/>
      <c r="WNX46" s="198"/>
      <c r="WNY46" s="827"/>
      <c r="WNZ46" s="198"/>
      <c r="WOA46" s="826"/>
      <c r="WOB46" s="1437"/>
      <c r="WOC46" s="1438"/>
      <c r="WOD46" s="198"/>
      <c r="WOE46" s="198"/>
      <c r="WOF46" s="198"/>
      <c r="WOG46" s="198"/>
      <c r="WOH46" s="198"/>
      <c r="WOI46" s="198"/>
      <c r="WOJ46" s="827"/>
      <c r="WOK46" s="198"/>
      <c r="WOL46" s="826"/>
      <c r="WOM46" s="1437"/>
      <c r="WON46" s="1438"/>
      <c r="WOO46" s="198"/>
      <c r="WOP46" s="198"/>
      <c r="WOQ46" s="198"/>
      <c r="WOR46" s="198"/>
      <c r="WOS46" s="198"/>
      <c r="WOT46" s="198"/>
      <c r="WOU46" s="827"/>
      <c r="WOV46" s="198"/>
      <c r="WOW46" s="826"/>
      <c r="WOX46" s="1437"/>
      <c r="WOY46" s="1438"/>
      <c r="WOZ46" s="198"/>
      <c r="WPA46" s="198"/>
      <c r="WPB46" s="198"/>
      <c r="WPC46" s="198"/>
      <c r="WPD46" s="198"/>
      <c r="WPE46" s="198"/>
      <c r="WPF46" s="827"/>
      <c r="WPG46" s="198"/>
      <c r="WPH46" s="826"/>
      <c r="WPI46" s="1437"/>
      <c r="WPJ46" s="1438"/>
      <c r="WPK46" s="198"/>
      <c r="WPL46" s="198"/>
      <c r="WPM46" s="198"/>
      <c r="WPN46" s="198"/>
      <c r="WPO46" s="198"/>
      <c r="WPP46" s="198"/>
      <c r="WPQ46" s="827"/>
      <c r="WPR46" s="198"/>
      <c r="WPS46" s="826"/>
      <c r="WPT46" s="1437"/>
      <c r="WPU46" s="1438"/>
      <c r="WPV46" s="198"/>
      <c r="WPW46" s="198"/>
      <c r="WPX46" s="198"/>
      <c r="WPY46" s="198"/>
      <c r="WPZ46" s="198"/>
      <c r="WQA46" s="198"/>
      <c r="WQB46" s="827"/>
      <c r="WQC46" s="198"/>
      <c r="WQD46" s="826"/>
      <c r="WQE46" s="1437"/>
      <c r="WQF46" s="1438"/>
      <c r="WQG46" s="198"/>
      <c r="WQH46" s="198"/>
      <c r="WQI46" s="198"/>
      <c r="WQJ46" s="198"/>
      <c r="WQK46" s="198"/>
      <c r="WQL46" s="198"/>
      <c r="WQM46" s="827"/>
      <c r="WQN46" s="198"/>
      <c r="WQO46" s="826"/>
      <c r="WQP46" s="1437"/>
      <c r="WQQ46" s="1438"/>
      <c r="WQR46" s="198"/>
      <c r="WQS46" s="198"/>
      <c r="WQT46" s="198"/>
      <c r="WQU46" s="198"/>
      <c r="WQV46" s="198"/>
      <c r="WQW46" s="198"/>
      <c r="WQX46" s="827"/>
      <c r="WQY46" s="198"/>
      <c r="WQZ46" s="826"/>
      <c r="WRA46" s="1437"/>
      <c r="WRB46" s="1438"/>
      <c r="WRC46" s="198"/>
      <c r="WRD46" s="198"/>
      <c r="WRE46" s="198"/>
      <c r="WRF46" s="198"/>
      <c r="WRG46" s="198"/>
      <c r="WRH46" s="198"/>
      <c r="WRI46" s="827"/>
      <c r="WRJ46" s="198"/>
      <c r="WRK46" s="826"/>
      <c r="WRL46" s="1437"/>
      <c r="WRM46" s="1438"/>
      <c r="WRN46" s="198"/>
      <c r="WRO46" s="198"/>
      <c r="WRP46" s="198"/>
      <c r="WRQ46" s="198"/>
      <c r="WRR46" s="198"/>
      <c r="WRS46" s="198"/>
      <c r="WRT46" s="827"/>
      <c r="WRU46" s="198"/>
      <c r="WRV46" s="826"/>
      <c r="WRW46" s="1437"/>
      <c r="WRX46" s="1438"/>
      <c r="WRY46" s="198"/>
      <c r="WRZ46" s="198"/>
      <c r="WSA46" s="198"/>
      <c r="WSB46" s="198"/>
      <c r="WSC46" s="198"/>
      <c r="WSD46" s="198"/>
      <c r="WSE46" s="827"/>
      <c r="WSF46" s="198"/>
      <c r="WSG46" s="826"/>
      <c r="WSH46" s="1437"/>
      <c r="WSI46" s="1438"/>
      <c r="WSJ46" s="198"/>
      <c r="WSK46" s="198"/>
      <c r="WSL46" s="198"/>
      <c r="WSM46" s="198"/>
      <c r="WSN46" s="198"/>
      <c r="WSO46" s="198"/>
      <c r="WSP46" s="827"/>
      <c r="WSQ46" s="198"/>
      <c r="WSR46" s="826"/>
      <c r="WSS46" s="1437"/>
      <c r="WST46" s="1438"/>
      <c r="WSU46" s="198"/>
      <c r="WSV46" s="198"/>
      <c r="WSW46" s="198"/>
      <c r="WSX46" s="198"/>
      <c r="WSY46" s="198"/>
      <c r="WSZ46" s="198"/>
      <c r="WTA46" s="827"/>
      <c r="WTB46" s="198"/>
      <c r="WTC46" s="826"/>
      <c r="WTD46" s="1437"/>
      <c r="WTE46" s="1438"/>
      <c r="WTF46" s="198"/>
      <c r="WTG46" s="198"/>
      <c r="WTH46" s="198"/>
      <c r="WTI46" s="198"/>
      <c r="WTJ46" s="198"/>
      <c r="WTK46" s="198"/>
      <c r="WTL46" s="827"/>
      <c r="WTM46" s="198"/>
      <c r="WTN46" s="826"/>
      <c r="WTO46" s="1437"/>
      <c r="WTP46" s="1438"/>
      <c r="WTQ46" s="198"/>
      <c r="WTR46" s="198"/>
      <c r="WTS46" s="198"/>
      <c r="WTT46" s="198"/>
      <c r="WTU46" s="198"/>
      <c r="WTV46" s="198"/>
      <c r="WTW46" s="827"/>
      <c r="WTX46" s="198"/>
      <c r="WTY46" s="826"/>
      <c r="WTZ46" s="1437"/>
      <c r="WUA46" s="1438"/>
      <c r="WUB46" s="198"/>
      <c r="WUC46" s="198"/>
      <c r="WUD46" s="198"/>
      <c r="WUE46" s="198"/>
      <c r="WUF46" s="198"/>
      <c r="WUG46" s="198"/>
      <c r="WUH46" s="827"/>
      <c r="WUI46" s="198"/>
      <c r="WUJ46" s="826"/>
      <c r="WUK46" s="1437"/>
      <c r="WUL46" s="1438"/>
      <c r="WUM46" s="198"/>
      <c r="WUN46" s="198"/>
      <c r="WUO46" s="198"/>
      <c r="WUP46" s="198"/>
      <c r="WUQ46" s="198"/>
      <c r="WUR46" s="198"/>
      <c r="WUS46" s="827"/>
      <c r="WUT46" s="198"/>
      <c r="WUU46" s="826"/>
      <c r="WUV46" s="1437"/>
      <c r="WUW46" s="1438"/>
      <c r="WUX46" s="198"/>
      <c r="WUY46" s="198"/>
      <c r="WUZ46" s="198"/>
      <c r="WVA46" s="198"/>
      <c r="WVB46" s="198"/>
      <c r="WVC46" s="198"/>
      <c r="WVD46" s="827"/>
      <c r="WVE46" s="198"/>
      <c r="WVF46" s="826"/>
      <c r="WVG46" s="1437"/>
      <c r="WVH46" s="1438"/>
      <c r="WVI46" s="198"/>
      <c r="WVJ46" s="198"/>
      <c r="WVK46" s="198"/>
      <c r="WVL46" s="198"/>
      <c r="WVM46" s="198"/>
      <c r="WVN46" s="198"/>
      <c r="WVO46" s="827"/>
      <c r="WVP46" s="198"/>
      <c r="WVQ46" s="826"/>
      <c r="WVR46" s="1437"/>
      <c r="WVS46" s="1438"/>
      <c r="WVT46" s="198"/>
      <c r="WVU46" s="198"/>
      <c r="WVV46" s="198"/>
      <c r="WVW46" s="198"/>
      <c r="WVX46" s="198"/>
      <c r="WVY46" s="198"/>
      <c r="WVZ46" s="827"/>
      <c r="WWA46" s="198"/>
      <c r="WWB46" s="826"/>
      <c r="WWC46" s="1437"/>
      <c r="WWD46" s="1438"/>
      <c r="WWE46" s="198"/>
      <c r="WWF46" s="198"/>
      <c r="WWG46" s="198"/>
      <c r="WWH46" s="198"/>
      <c r="WWI46" s="198"/>
      <c r="WWJ46" s="198"/>
      <c r="WWK46" s="827"/>
      <c r="WWL46" s="198"/>
      <c r="WWM46" s="826"/>
      <c r="WWN46" s="1437"/>
      <c r="WWO46" s="1438"/>
      <c r="WWP46" s="198"/>
      <c r="WWQ46" s="198"/>
      <c r="WWR46" s="198"/>
      <c r="WWS46" s="198"/>
      <c r="WWT46" s="198"/>
      <c r="WWU46" s="198"/>
      <c r="WWV46" s="827"/>
      <c r="WWW46" s="198"/>
      <c r="WWX46" s="826"/>
      <c r="WWY46" s="1437"/>
      <c r="WWZ46" s="1438"/>
      <c r="WXA46" s="198"/>
      <c r="WXB46" s="198"/>
      <c r="WXC46" s="198"/>
      <c r="WXD46" s="198"/>
      <c r="WXE46" s="198"/>
      <c r="WXF46" s="198"/>
      <c r="WXG46" s="827"/>
      <c r="WXH46" s="198"/>
      <c r="WXI46" s="826"/>
      <c r="WXJ46" s="1437"/>
      <c r="WXK46" s="1438"/>
      <c r="WXL46" s="198"/>
      <c r="WXM46" s="198"/>
      <c r="WXN46" s="198"/>
      <c r="WXO46" s="198"/>
      <c r="WXP46" s="198"/>
      <c r="WXQ46" s="198"/>
      <c r="WXR46" s="827"/>
      <c r="WXS46" s="198"/>
      <c r="WXT46" s="826"/>
      <c r="WXU46" s="1437"/>
      <c r="WXV46" s="1438"/>
      <c r="WXW46" s="198"/>
      <c r="WXX46" s="198"/>
      <c r="WXY46" s="198"/>
      <c r="WXZ46" s="198"/>
      <c r="WYA46" s="198"/>
      <c r="WYB46" s="198"/>
      <c r="WYC46" s="827"/>
      <c r="WYD46" s="198"/>
      <c r="WYE46" s="826"/>
      <c r="WYF46" s="1437"/>
      <c r="WYG46" s="1438"/>
      <c r="WYH46" s="198"/>
      <c r="WYI46" s="198"/>
      <c r="WYJ46" s="198"/>
      <c r="WYK46" s="198"/>
      <c r="WYL46" s="198"/>
      <c r="WYM46" s="198"/>
      <c r="WYN46" s="827"/>
      <c r="WYO46" s="198"/>
      <c r="WYP46" s="826"/>
      <c r="WYQ46" s="1437"/>
      <c r="WYR46" s="1438"/>
      <c r="WYS46" s="198"/>
      <c r="WYT46" s="198"/>
      <c r="WYU46" s="198"/>
      <c r="WYV46" s="198"/>
      <c r="WYW46" s="198"/>
      <c r="WYX46" s="198"/>
      <c r="WYY46" s="827"/>
      <c r="WYZ46" s="198"/>
      <c r="WZA46" s="826"/>
      <c r="WZB46" s="1437"/>
      <c r="WZC46" s="1438"/>
      <c r="WZD46" s="198"/>
      <c r="WZE46" s="198"/>
      <c r="WZF46" s="198"/>
      <c r="WZG46" s="198"/>
      <c r="WZH46" s="198"/>
      <c r="WZI46" s="198"/>
      <c r="WZJ46" s="827"/>
      <c r="WZK46" s="198"/>
      <c r="WZL46" s="826"/>
      <c r="WZM46" s="1437"/>
      <c r="WZN46" s="1438"/>
      <c r="WZO46" s="198"/>
      <c r="WZP46" s="198"/>
      <c r="WZQ46" s="198"/>
      <c r="WZR46" s="198"/>
      <c r="WZS46" s="198"/>
      <c r="WZT46" s="198"/>
      <c r="WZU46" s="827"/>
      <c r="WZV46" s="198"/>
      <c r="WZW46" s="826"/>
      <c r="WZX46" s="1437"/>
      <c r="WZY46" s="1438"/>
      <c r="WZZ46" s="198"/>
      <c r="XAA46" s="198"/>
      <c r="XAB46" s="198"/>
      <c r="XAC46" s="198"/>
      <c r="XAD46" s="198"/>
      <c r="XAE46" s="198"/>
      <c r="XAF46" s="827"/>
      <c r="XAG46" s="198"/>
      <c r="XAH46" s="826"/>
      <c r="XAI46" s="1437"/>
      <c r="XAJ46" s="1438"/>
      <c r="XAK46" s="198"/>
      <c r="XAL46" s="198"/>
      <c r="XAM46" s="198"/>
      <c r="XAN46" s="198"/>
      <c r="XAO46" s="198"/>
      <c r="XAP46" s="198"/>
      <c r="XAQ46" s="827"/>
      <c r="XAR46" s="198"/>
      <c r="XAS46" s="826"/>
      <c r="XAT46" s="1437"/>
      <c r="XAU46" s="1438"/>
      <c r="XAV46" s="198"/>
      <c r="XAW46" s="198"/>
      <c r="XAX46" s="198"/>
      <c r="XAY46" s="198"/>
      <c r="XAZ46" s="198"/>
      <c r="XBA46" s="198"/>
      <c r="XBB46" s="827"/>
      <c r="XBC46" s="198"/>
      <c r="XBD46" s="826"/>
      <c r="XBE46" s="1437"/>
      <c r="XBF46" s="1438"/>
      <c r="XBG46" s="198"/>
      <c r="XBH46" s="198"/>
      <c r="XBI46" s="198"/>
      <c r="XBJ46" s="198"/>
      <c r="XBK46" s="198"/>
      <c r="XBL46" s="198"/>
      <c r="XBM46" s="827"/>
      <c r="XBN46" s="198"/>
      <c r="XBO46" s="826"/>
      <c r="XBP46" s="1437"/>
      <c r="XBQ46" s="1438"/>
      <c r="XBR46" s="198"/>
      <c r="XBS46" s="198"/>
      <c r="XBT46" s="198"/>
      <c r="XBU46" s="198"/>
      <c r="XBV46" s="198"/>
      <c r="XBW46" s="198"/>
      <c r="XBX46" s="827"/>
      <c r="XBY46" s="198"/>
      <c r="XBZ46" s="826"/>
      <c r="XCA46" s="1437"/>
      <c r="XCB46" s="1438"/>
      <c r="XCC46" s="198"/>
      <c r="XCD46" s="198"/>
      <c r="XCE46" s="198"/>
      <c r="XCF46" s="198"/>
      <c r="XCG46" s="198"/>
      <c r="XCH46" s="198"/>
      <c r="XCI46" s="827"/>
      <c r="XCJ46" s="198"/>
      <c r="XCK46" s="826"/>
      <c r="XCL46" s="1437"/>
      <c r="XCM46" s="1438"/>
      <c r="XCN46" s="198"/>
      <c r="XCO46" s="198"/>
      <c r="XCP46" s="198"/>
      <c r="XCQ46" s="198"/>
      <c r="XCR46" s="198"/>
      <c r="XCS46" s="198"/>
      <c r="XCT46" s="827"/>
      <c r="XCU46" s="198"/>
      <c r="XCV46" s="826"/>
      <c r="XCW46" s="1437"/>
      <c r="XCX46" s="1438"/>
      <c r="XCY46" s="198"/>
      <c r="XCZ46" s="198"/>
      <c r="XDA46" s="198"/>
      <c r="XDB46" s="198"/>
      <c r="XDC46" s="198"/>
      <c r="XDD46" s="198"/>
      <c r="XDE46" s="827"/>
      <c r="XDF46" s="198"/>
      <c r="XDG46" s="826"/>
      <c r="XDH46" s="1437"/>
      <c r="XDI46" s="1438"/>
      <c r="XDJ46" s="198"/>
      <c r="XDK46" s="198"/>
      <c r="XDL46" s="198"/>
      <c r="XDM46" s="198"/>
      <c r="XDN46" s="198"/>
      <c r="XDO46" s="198"/>
      <c r="XDP46" s="827"/>
      <c r="XDQ46" s="198"/>
      <c r="XDR46" s="826"/>
      <c r="XDS46" s="1437"/>
      <c r="XDT46" s="1438"/>
      <c r="XDU46" s="198"/>
      <c r="XDV46" s="198"/>
      <c r="XDW46" s="198"/>
      <c r="XDX46" s="198"/>
      <c r="XDY46" s="198"/>
      <c r="XDZ46" s="198"/>
      <c r="XEA46" s="827"/>
      <c r="XEB46" s="198"/>
      <c r="XEC46" s="826"/>
      <c r="XED46" s="1437"/>
      <c r="XEE46" s="1438"/>
      <c r="XEF46" s="198"/>
      <c r="XEG46" s="198"/>
      <c r="XEH46" s="198"/>
      <c r="XEI46" s="198"/>
      <c r="XEJ46" s="198"/>
      <c r="XEK46" s="198"/>
      <c r="XEL46" s="827"/>
      <c r="XEM46" s="198"/>
      <c r="XEN46" s="826"/>
      <c r="XEO46" s="1437"/>
      <c r="XEP46" s="1438"/>
      <c r="XEQ46" s="198"/>
      <c r="XER46" s="198"/>
      <c r="XES46" s="198"/>
      <c r="XET46" s="198"/>
      <c r="XEU46" s="198"/>
      <c r="XEV46" s="198"/>
      <c r="XEW46" s="827"/>
      <c r="XEX46" s="198"/>
      <c r="XEY46" s="826"/>
      <c r="XEZ46" s="1437"/>
      <c r="XFA46" s="1438"/>
      <c r="XFB46" s="198"/>
      <c r="XFC46" s="198"/>
      <c r="XFD46" s="198"/>
    </row>
    <row r="48" spans="1:16384">
      <c r="C48" s="800">
        <f>+D46+E46</f>
        <v>259</v>
      </c>
    </row>
  </sheetData>
  <mergeCells count="1626">
    <mergeCell ref="XCW46:XCX46"/>
    <mergeCell ref="XDH46:XDI46"/>
    <mergeCell ref="XDS46:XDT46"/>
    <mergeCell ref="XED46:XEE46"/>
    <mergeCell ref="XEO46:XEP46"/>
    <mergeCell ref="XEZ46:XFA46"/>
    <mergeCell ref="XAI46:XAJ46"/>
    <mergeCell ref="XAT46:XAU46"/>
    <mergeCell ref="XBE46:XBF46"/>
    <mergeCell ref="XBP46:XBQ46"/>
    <mergeCell ref="XCA46:XCB46"/>
    <mergeCell ref="XCL46:XCM46"/>
    <mergeCell ref="WXU46:WXV46"/>
    <mergeCell ref="WYF46:WYG46"/>
    <mergeCell ref="WYQ46:WYR46"/>
    <mergeCell ref="WZB46:WZC46"/>
    <mergeCell ref="WZM46:WZN46"/>
    <mergeCell ref="WZX46:WZY46"/>
    <mergeCell ref="WVG46:WVH46"/>
    <mergeCell ref="WVR46:WVS46"/>
    <mergeCell ref="WWC46:WWD46"/>
    <mergeCell ref="WWN46:WWO46"/>
    <mergeCell ref="WWY46:WWZ46"/>
    <mergeCell ref="WXJ46:WXK46"/>
    <mergeCell ref="WSS46:WST46"/>
    <mergeCell ref="WTD46:WTE46"/>
    <mergeCell ref="WTO46:WTP46"/>
    <mergeCell ref="WTZ46:WUA46"/>
    <mergeCell ref="WUK46:WUL46"/>
    <mergeCell ref="WUV46:WUW46"/>
    <mergeCell ref="WQE46:WQF46"/>
    <mergeCell ref="WQP46:WQQ46"/>
    <mergeCell ref="WRA46:WRB46"/>
    <mergeCell ref="WRL46:WRM46"/>
    <mergeCell ref="WRW46:WRX46"/>
    <mergeCell ref="WSH46:WSI46"/>
    <mergeCell ref="WNQ46:WNR46"/>
    <mergeCell ref="WOB46:WOC46"/>
    <mergeCell ref="WOM46:WON46"/>
    <mergeCell ref="WOX46:WOY46"/>
    <mergeCell ref="WPI46:WPJ46"/>
    <mergeCell ref="WPT46:WPU46"/>
    <mergeCell ref="WLC46:WLD46"/>
    <mergeCell ref="WLN46:WLO46"/>
    <mergeCell ref="WLY46:WLZ46"/>
    <mergeCell ref="WMJ46:WMK46"/>
    <mergeCell ref="WMU46:WMV46"/>
    <mergeCell ref="WNF46:WNG46"/>
    <mergeCell ref="WIO46:WIP46"/>
    <mergeCell ref="WIZ46:WJA46"/>
    <mergeCell ref="WJK46:WJL46"/>
    <mergeCell ref="WJV46:WJW46"/>
    <mergeCell ref="WKG46:WKH46"/>
    <mergeCell ref="WKR46:WKS46"/>
    <mergeCell ref="WGA46:WGB46"/>
    <mergeCell ref="WGL46:WGM46"/>
    <mergeCell ref="WGW46:WGX46"/>
    <mergeCell ref="WHH46:WHI46"/>
    <mergeCell ref="WHS46:WHT46"/>
    <mergeCell ref="WID46:WIE46"/>
    <mergeCell ref="WDM46:WDN46"/>
    <mergeCell ref="WDX46:WDY46"/>
    <mergeCell ref="WEI46:WEJ46"/>
    <mergeCell ref="WET46:WEU46"/>
    <mergeCell ref="WFE46:WFF46"/>
    <mergeCell ref="WFP46:WFQ46"/>
    <mergeCell ref="WAY46:WAZ46"/>
    <mergeCell ref="WBJ46:WBK46"/>
    <mergeCell ref="WBU46:WBV46"/>
    <mergeCell ref="WCF46:WCG46"/>
    <mergeCell ref="WCQ46:WCR46"/>
    <mergeCell ref="WDB46:WDC46"/>
    <mergeCell ref="VYK46:VYL46"/>
    <mergeCell ref="VYV46:VYW46"/>
    <mergeCell ref="VZG46:VZH46"/>
    <mergeCell ref="VZR46:VZS46"/>
    <mergeCell ref="WAC46:WAD46"/>
    <mergeCell ref="WAN46:WAO46"/>
    <mergeCell ref="VVW46:VVX46"/>
    <mergeCell ref="VWH46:VWI46"/>
    <mergeCell ref="VWS46:VWT46"/>
    <mergeCell ref="VXD46:VXE46"/>
    <mergeCell ref="VXO46:VXP46"/>
    <mergeCell ref="VXZ46:VYA46"/>
    <mergeCell ref="VTI46:VTJ46"/>
    <mergeCell ref="VTT46:VTU46"/>
    <mergeCell ref="VUE46:VUF46"/>
    <mergeCell ref="VUP46:VUQ46"/>
    <mergeCell ref="VVA46:VVB46"/>
    <mergeCell ref="VVL46:VVM46"/>
    <mergeCell ref="VQU46:VQV46"/>
    <mergeCell ref="VRF46:VRG46"/>
    <mergeCell ref="VRQ46:VRR46"/>
    <mergeCell ref="VSB46:VSC46"/>
    <mergeCell ref="VSM46:VSN46"/>
    <mergeCell ref="VSX46:VSY46"/>
    <mergeCell ref="VOG46:VOH46"/>
    <mergeCell ref="VOR46:VOS46"/>
    <mergeCell ref="VPC46:VPD46"/>
    <mergeCell ref="VPN46:VPO46"/>
    <mergeCell ref="VPY46:VPZ46"/>
    <mergeCell ref="VQJ46:VQK46"/>
    <mergeCell ref="VLS46:VLT46"/>
    <mergeCell ref="VMD46:VME46"/>
    <mergeCell ref="VMO46:VMP46"/>
    <mergeCell ref="VMZ46:VNA46"/>
    <mergeCell ref="VNK46:VNL46"/>
    <mergeCell ref="VNV46:VNW46"/>
    <mergeCell ref="VJE46:VJF46"/>
    <mergeCell ref="VJP46:VJQ46"/>
    <mergeCell ref="VKA46:VKB46"/>
    <mergeCell ref="VKL46:VKM46"/>
    <mergeCell ref="VKW46:VKX46"/>
    <mergeCell ref="VLH46:VLI46"/>
    <mergeCell ref="VGQ46:VGR46"/>
    <mergeCell ref="VHB46:VHC46"/>
    <mergeCell ref="VHM46:VHN46"/>
    <mergeCell ref="VHX46:VHY46"/>
    <mergeCell ref="VII46:VIJ46"/>
    <mergeCell ref="VIT46:VIU46"/>
    <mergeCell ref="VEC46:VED46"/>
    <mergeCell ref="VEN46:VEO46"/>
    <mergeCell ref="VEY46:VEZ46"/>
    <mergeCell ref="VFJ46:VFK46"/>
    <mergeCell ref="VFU46:VFV46"/>
    <mergeCell ref="VGF46:VGG46"/>
    <mergeCell ref="VBO46:VBP46"/>
    <mergeCell ref="VBZ46:VCA46"/>
    <mergeCell ref="VCK46:VCL46"/>
    <mergeCell ref="VCV46:VCW46"/>
    <mergeCell ref="VDG46:VDH46"/>
    <mergeCell ref="VDR46:VDS46"/>
    <mergeCell ref="UZA46:UZB46"/>
    <mergeCell ref="UZL46:UZM46"/>
    <mergeCell ref="UZW46:UZX46"/>
    <mergeCell ref="VAH46:VAI46"/>
    <mergeCell ref="VAS46:VAT46"/>
    <mergeCell ref="VBD46:VBE46"/>
    <mergeCell ref="UWM46:UWN46"/>
    <mergeCell ref="UWX46:UWY46"/>
    <mergeCell ref="UXI46:UXJ46"/>
    <mergeCell ref="UXT46:UXU46"/>
    <mergeCell ref="UYE46:UYF46"/>
    <mergeCell ref="UYP46:UYQ46"/>
    <mergeCell ref="UTY46:UTZ46"/>
    <mergeCell ref="UUJ46:UUK46"/>
    <mergeCell ref="UUU46:UUV46"/>
    <mergeCell ref="UVF46:UVG46"/>
    <mergeCell ref="UVQ46:UVR46"/>
    <mergeCell ref="UWB46:UWC46"/>
    <mergeCell ref="URK46:URL46"/>
    <mergeCell ref="URV46:URW46"/>
    <mergeCell ref="USG46:USH46"/>
    <mergeCell ref="USR46:USS46"/>
    <mergeCell ref="UTC46:UTD46"/>
    <mergeCell ref="UTN46:UTO46"/>
    <mergeCell ref="UOW46:UOX46"/>
    <mergeCell ref="UPH46:UPI46"/>
    <mergeCell ref="UPS46:UPT46"/>
    <mergeCell ref="UQD46:UQE46"/>
    <mergeCell ref="UQO46:UQP46"/>
    <mergeCell ref="UQZ46:URA46"/>
    <mergeCell ref="UMI46:UMJ46"/>
    <mergeCell ref="UMT46:UMU46"/>
    <mergeCell ref="UNE46:UNF46"/>
    <mergeCell ref="UNP46:UNQ46"/>
    <mergeCell ref="UOA46:UOB46"/>
    <mergeCell ref="UOL46:UOM46"/>
    <mergeCell ref="UJU46:UJV46"/>
    <mergeCell ref="UKF46:UKG46"/>
    <mergeCell ref="UKQ46:UKR46"/>
    <mergeCell ref="ULB46:ULC46"/>
    <mergeCell ref="ULM46:ULN46"/>
    <mergeCell ref="ULX46:ULY46"/>
    <mergeCell ref="UHG46:UHH46"/>
    <mergeCell ref="UHR46:UHS46"/>
    <mergeCell ref="UIC46:UID46"/>
    <mergeCell ref="UIN46:UIO46"/>
    <mergeCell ref="UIY46:UIZ46"/>
    <mergeCell ref="UJJ46:UJK46"/>
    <mergeCell ref="UES46:UET46"/>
    <mergeCell ref="UFD46:UFE46"/>
    <mergeCell ref="UFO46:UFP46"/>
    <mergeCell ref="UFZ46:UGA46"/>
    <mergeCell ref="UGK46:UGL46"/>
    <mergeCell ref="UGV46:UGW46"/>
    <mergeCell ref="UCE46:UCF46"/>
    <mergeCell ref="UCP46:UCQ46"/>
    <mergeCell ref="UDA46:UDB46"/>
    <mergeCell ref="UDL46:UDM46"/>
    <mergeCell ref="UDW46:UDX46"/>
    <mergeCell ref="UEH46:UEI46"/>
    <mergeCell ref="TZQ46:TZR46"/>
    <mergeCell ref="UAB46:UAC46"/>
    <mergeCell ref="UAM46:UAN46"/>
    <mergeCell ref="UAX46:UAY46"/>
    <mergeCell ref="UBI46:UBJ46"/>
    <mergeCell ref="UBT46:UBU46"/>
    <mergeCell ref="TXC46:TXD46"/>
    <mergeCell ref="TXN46:TXO46"/>
    <mergeCell ref="TXY46:TXZ46"/>
    <mergeCell ref="TYJ46:TYK46"/>
    <mergeCell ref="TYU46:TYV46"/>
    <mergeCell ref="TZF46:TZG46"/>
    <mergeCell ref="TUO46:TUP46"/>
    <mergeCell ref="TUZ46:TVA46"/>
    <mergeCell ref="TVK46:TVL46"/>
    <mergeCell ref="TVV46:TVW46"/>
    <mergeCell ref="TWG46:TWH46"/>
    <mergeCell ref="TWR46:TWS46"/>
    <mergeCell ref="TSA46:TSB46"/>
    <mergeCell ref="TSL46:TSM46"/>
    <mergeCell ref="TSW46:TSX46"/>
    <mergeCell ref="TTH46:TTI46"/>
    <mergeCell ref="TTS46:TTT46"/>
    <mergeCell ref="TUD46:TUE46"/>
    <mergeCell ref="TPM46:TPN46"/>
    <mergeCell ref="TPX46:TPY46"/>
    <mergeCell ref="TQI46:TQJ46"/>
    <mergeCell ref="TQT46:TQU46"/>
    <mergeCell ref="TRE46:TRF46"/>
    <mergeCell ref="TRP46:TRQ46"/>
    <mergeCell ref="TMY46:TMZ46"/>
    <mergeCell ref="TNJ46:TNK46"/>
    <mergeCell ref="TNU46:TNV46"/>
    <mergeCell ref="TOF46:TOG46"/>
    <mergeCell ref="TOQ46:TOR46"/>
    <mergeCell ref="TPB46:TPC46"/>
    <mergeCell ref="TKK46:TKL46"/>
    <mergeCell ref="TKV46:TKW46"/>
    <mergeCell ref="TLG46:TLH46"/>
    <mergeCell ref="TLR46:TLS46"/>
    <mergeCell ref="TMC46:TMD46"/>
    <mergeCell ref="TMN46:TMO46"/>
    <mergeCell ref="THW46:THX46"/>
    <mergeCell ref="TIH46:TII46"/>
    <mergeCell ref="TIS46:TIT46"/>
    <mergeCell ref="TJD46:TJE46"/>
    <mergeCell ref="TJO46:TJP46"/>
    <mergeCell ref="TJZ46:TKA46"/>
    <mergeCell ref="TFI46:TFJ46"/>
    <mergeCell ref="TFT46:TFU46"/>
    <mergeCell ref="TGE46:TGF46"/>
    <mergeCell ref="TGP46:TGQ46"/>
    <mergeCell ref="THA46:THB46"/>
    <mergeCell ref="THL46:THM46"/>
    <mergeCell ref="TCU46:TCV46"/>
    <mergeCell ref="TDF46:TDG46"/>
    <mergeCell ref="TDQ46:TDR46"/>
    <mergeCell ref="TEB46:TEC46"/>
    <mergeCell ref="TEM46:TEN46"/>
    <mergeCell ref="TEX46:TEY46"/>
    <mergeCell ref="TAG46:TAH46"/>
    <mergeCell ref="TAR46:TAS46"/>
    <mergeCell ref="TBC46:TBD46"/>
    <mergeCell ref="TBN46:TBO46"/>
    <mergeCell ref="TBY46:TBZ46"/>
    <mergeCell ref="TCJ46:TCK46"/>
    <mergeCell ref="SXS46:SXT46"/>
    <mergeCell ref="SYD46:SYE46"/>
    <mergeCell ref="SYO46:SYP46"/>
    <mergeCell ref="SYZ46:SZA46"/>
    <mergeCell ref="SZK46:SZL46"/>
    <mergeCell ref="SZV46:SZW46"/>
    <mergeCell ref="SVE46:SVF46"/>
    <mergeCell ref="SVP46:SVQ46"/>
    <mergeCell ref="SWA46:SWB46"/>
    <mergeCell ref="SWL46:SWM46"/>
    <mergeCell ref="SWW46:SWX46"/>
    <mergeCell ref="SXH46:SXI46"/>
    <mergeCell ref="SSQ46:SSR46"/>
    <mergeCell ref="STB46:STC46"/>
    <mergeCell ref="STM46:STN46"/>
    <mergeCell ref="STX46:STY46"/>
    <mergeCell ref="SUI46:SUJ46"/>
    <mergeCell ref="SUT46:SUU46"/>
    <mergeCell ref="SQC46:SQD46"/>
    <mergeCell ref="SQN46:SQO46"/>
    <mergeCell ref="SQY46:SQZ46"/>
    <mergeCell ref="SRJ46:SRK46"/>
    <mergeCell ref="SRU46:SRV46"/>
    <mergeCell ref="SSF46:SSG46"/>
    <mergeCell ref="SNO46:SNP46"/>
    <mergeCell ref="SNZ46:SOA46"/>
    <mergeCell ref="SOK46:SOL46"/>
    <mergeCell ref="SOV46:SOW46"/>
    <mergeCell ref="SPG46:SPH46"/>
    <mergeCell ref="SPR46:SPS46"/>
    <mergeCell ref="SLA46:SLB46"/>
    <mergeCell ref="SLL46:SLM46"/>
    <mergeCell ref="SLW46:SLX46"/>
    <mergeCell ref="SMH46:SMI46"/>
    <mergeCell ref="SMS46:SMT46"/>
    <mergeCell ref="SND46:SNE46"/>
    <mergeCell ref="SIM46:SIN46"/>
    <mergeCell ref="SIX46:SIY46"/>
    <mergeCell ref="SJI46:SJJ46"/>
    <mergeCell ref="SJT46:SJU46"/>
    <mergeCell ref="SKE46:SKF46"/>
    <mergeCell ref="SKP46:SKQ46"/>
    <mergeCell ref="SFY46:SFZ46"/>
    <mergeCell ref="SGJ46:SGK46"/>
    <mergeCell ref="SGU46:SGV46"/>
    <mergeCell ref="SHF46:SHG46"/>
    <mergeCell ref="SHQ46:SHR46"/>
    <mergeCell ref="SIB46:SIC46"/>
    <mergeCell ref="SDK46:SDL46"/>
    <mergeCell ref="SDV46:SDW46"/>
    <mergeCell ref="SEG46:SEH46"/>
    <mergeCell ref="SER46:SES46"/>
    <mergeCell ref="SFC46:SFD46"/>
    <mergeCell ref="SFN46:SFO46"/>
    <mergeCell ref="SAW46:SAX46"/>
    <mergeCell ref="SBH46:SBI46"/>
    <mergeCell ref="SBS46:SBT46"/>
    <mergeCell ref="SCD46:SCE46"/>
    <mergeCell ref="SCO46:SCP46"/>
    <mergeCell ref="SCZ46:SDA46"/>
    <mergeCell ref="RYI46:RYJ46"/>
    <mergeCell ref="RYT46:RYU46"/>
    <mergeCell ref="RZE46:RZF46"/>
    <mergeCell ref="RZP46:RZQ46"/>
    <mergeCell ref="SAA46:SAB46"/>
    <mergeCell ref="SAL46:SAM46"/>
    <mergeCell ref="RVU46:RVV46"/>
    <mergeCell ref="RWF46:RWG46"/>
    <mergeCell ref="RWQ46:RWR46"/>
    <mergeCell ref="RXB46:RXC46"/>
    <mergeCell ref="RXM46:RXN46"/>
    <mergeCell ref="RXX46:RXY46"/>
    <mergeCell ref="RTG46:RTH46"/>
    <mergeCell ref="RTR46:RTS46"/>
    <mergeCell ref="RUC46:RUD46"/>
    <mergeCell ref="RUN46:RUO46"/>
    <mergeCell ref="RUY46:RUZ46"/>
    <mergeCell ref="RVJ46:RVK46"/>
    <mergeCell ref="RQS46:RQT46"/>
    <mergeCell ref="RRD46:RRE46"/>
    <mergeCell ref="RRO46:RRP46"/>
    <mergeCell ref="RRZ46:RSA46"/>
    <mergeCell ref="RSK46:RSL46"/>
    <mergeCell ref="RSV46:RSW46"/>
    <mergeCell ref="ROE46:ROF46"/>
    <mergeCell ref="ROP46:ROQ46"/>
    <mergeCell ref="RPA46:RPB46"/>
    <mergeCell ref="RPL46:RPM46"/>
    <mergeCell ref="RPW46:RPX46"/>
    <mergeCell ref="RQH46:RQI46"/>
    <mergeCell ref="RLQ46:RLR46"/>
    <mergeCell ref="RMB46:RMC46"/>
    <mergeCell ref="RMM46:RMN46"/>
    <mergeCell ref="RMX46:RMY46"/>
    <mergeCell ref="RNI46:RNJ46"/>
    <mergeCell ref="RNT46:RNU46"/>
    <mergeCell ref="RJC46:RJD46"/>
    <mergeCell ref="RJN46:RJO46"/>
    <mergeCell ref="RJY46:RJZ46"/>
    <mergeCell ref="RKJ46:RKK46"/>
    <mergeCell ref="RKU46:RKV46"/>
    <mergeCell ref="RLF46:RLG46"/>
    <mergeCell ref="RGO46:RGP46"/>
    <mergeCell ref="RGZ46:RHA46"/>
    <mergeCell ref="RHK46:RHL46"/>
    <mergeCell ref="RHV46:RHW46"/>
    <mergeCell ref="RIG46:RIH46"/>
    <mergeCell ref="RIR46:RIS46"/>
    <mergeCell ref="REA46:REB46"/>
    <mergeCell ref="REL46:REM46"/>
    <mergeCell ref="REW46:REX46"/>
    <mergeCell ref="RFH46:RFI46"/>
    <mergeCell ref="RFS46:RFT46"/>
    <mergeCell ref="RGD46:RGE46"/>
    <mergeCell ref="RBM46:RBN46"/>
    <mergeCell ref="RBX46:RBY46"/>
    <mergeCell ref="RCI46:RCJ46"/>
    <mergeCell ref="RCT46:RCU46"/>
    <mergeCell ref="RDE46:RDF46"/>
    <mergeCell ref="RDP46:RDQ46"/>
    <mergeCell ref="QYY46:QYZ46"/>
    <mergeCell ref="QZJ46:QZK46"/>
    <mergeCell ref="QZU46:QZV46"/>
    <mergeCell ref="RAF46:RAG46"/>
    <mergeCell ref="RAQ46:RAR46"/>
    <mergeCell ref="RBB46:RBC46"/>
    <mergeCell ref="QWK46:QWL46"/>
    <mergeCell ref="QWV46:QWW46"/>
    <mergeCell ref="QXG46:QXH46"/>
    <mergeCell ref="QXR46:QXS46"/>
    <mergeCell ref="QYC46:QYD46"/>
    <mergeCell ref="QYN46:QYO46"/>
    <mergeCell ref="QTW46:QTX46"/>
    <mergeCell ref="QUH46:QUI46"/>
    <mergeCell ref="QUS46:QUT46"/>
    <mergeCell ref="QVD46:QVE46"/>
    <mergeCell ref="QVO46:QVP46"/>
    <mergeCell ref="QVZ46:QWA46"/>
    <mergeCell ref="QRI46:QRJ46"/>
    <mergeCell ref="QRT46:QRU46"/>
    <mergeCell ref="QSE46:QSF46"/>
    <mergeCell ref="QSP46:QSQ46"/>
    <mergeCell ref="QTA46:QTB46"/>
    <mergeCell ref="QTL46:QTM46"/>
    <mergeCell ref="QOU46:QOV46"/>
    <mergeCell ref="QPF46:QPG46"/>
    <mergeCell ref="QPQ46:QPR46"/>
    <mergeCell ref="QQB46:QQC46"/>
    <mergeCell ref="QQM46:QQN46"/>
    <mergeCell ref="QQX46:QQY46"/>
    <mergeCell ref="QMG46:QMH46"/>
    <mergeCell ref="QMR46:QMS46"/>
    <mergeCell ref="QNC46:QND46"/>
    <mergeCell ref="QNN46:QNO46"/>
    <mergeCell ref="QNY46:QNZ46"/>
    <mergeCell ref="QOJ46:QOK46"/>
    <mergeCell ref="QJS46:QJT46"/>
    <mergeCell ref="QKD46:QKE46"/>
    <mergeCell ref="QKO46:QKP46"/>
    <mergeCell ref="QKZ46:QLA46"/>
    <mergeCell ref="QLK46:QLL46"/>
    <mergeCell ref="QLV46:QLW46"/>
    <mergeCell ref="QHE46:QHF46"/>
    <mergeCell ref="QHP46:QHQ46"/>
    <mergeCell ref="QIA46:QIB46"/>
    <mergeCell ref="QIL46:QIM46"/>
    <mergeCell ref="QIW46:QIX46"/>
    <mergeCell ref="QJH46:QJI46"/>
    <mergeCell ref="QEQ46:QER46"/>
    <mergeCell ref="QFB46:QFC46"/>
    <mergeCell ref="QFM46:QFN46"/>
    <mergeCell ref="QFX46:QFY46"/>
    <mergeCell ref="QGI46:QGJ46"/>
    <mergeCell ref="QGT46:QGU46"/>
    <mergeCell ref="QCC46:QCD46"/>
    <mergeCell ref="QCN46:QCO46"/>
    <mergeCell ref="QCY46:QCZ46"/>
    <mergeCell ref="QDJ46:QDK46"/>
    <mergeCell ref="QDU46:QDV46"/>
    <mergeCell ref="QEF46:QEG46"/>
    <mergeCell ref="PZO46:PZP46"/>
    <mergeCell ref="PZZ46:QAA46"/>
    <mergeCell ref="QAK46:QAL46"/>
    <mergeCell ref="QAV46:QAW46"/>
    <mergeCell ref="QBG46:QBH46"/>
    <mergeCell ref="QBR46:QBS46"/>
    <mergeCell ref="PXA46:PXB46"/>
    <mergeCell ref="PXL46:PXM46"/>
    <mergeCell ref="PXW46:PXX46"/>
    <mergeCell ref="PYH46:PYI46"/>
    <mergeCell ref="PYS46:PYT46"/>
    <mergeCell ref="PZD46:PZE46"/>
    <mergeCell ref="PUM46:PUN46"/>
    <mergeCell ref="PUX46:PUY46"/>
    <mergeCell ref="PVI46:PVJ46"/>
    <mergeCell ref="PVT46:PVU46"/>
    <mergeCell ref="PWE46:PWF46"/>
    <mergeCell ref="PWP46:PWQ46"/>
    <mergeCell ref="PRY46:PRZ46"/>
    <mergeCell ref="PSJ46:PSK46"/>
    <mergeCell ref="PSU46:PSV46"/>
    <mergeCell ref="PTF46:PTG46"/>
    <mergeCell ref="PTQ46:PTR46"/>
    <mergeCell ref="PUB46:PUC46"/>
    <mergeCell ref="PPK46:PPL46"/>
    <mergeCell ref="PPV46:PPW46"/>
    <mergeCell ref="PQG46:PQH46"/>
    <mergeCell ref="PQR46:PQS46"/>
    <mergeCell ref="PRC46:PRD46"/>
    <mergeCell ref="PRN46:PRO46"/>
    <mergeCell ref="PMW46:PMX46"/>
    <mergeCell ref="PNH46:PNI46"/>
    <mergeCell ref="PNS46:PNT46"/>
    <mergeCell ref="POD46:POE46"/>
    <mergeCell ref="POO46:POP46"/>
    <mergeCell ref="POZ46:PPA46"/>
    <mergeCell ref="PKI46:PKJ46"/>
    <mergeCell ref="PKT46:PKU46"/>
    <mergeCell ref="PLE46:PLF46"/>
    <mergeCell ref="PLP46:PLQ46"/>
    <mergeCell ref="PMA46:PMB46"/>
    <mergeCell ref="PML46:PMM46"/>
    <mergeCell ref="PHU46:PHV46"/>
    <mergeCell ref="PIF46:PIG46"/>
    <mergeCell ref="PIQ46:PIR46"/>
    <mergeCell ref="PJB46:PJC46"/>
    <mergeCell ref="PJM46:PJN46"/>
    <mergeCell ref="PJX46:PJY46"/>
    <mergeCell ref="PFG46:PFH46"/>
    <mergeCell ref="PFR46:PFS46"/>
    <mergeCell ref="PGC46:PGD46"/>
    <mergeCell ref="PGN46:PGO46"/>
    <mergeCell ref="PGY46:PGZ46"/>
    <mergeCell ref="PHJ46:PHK46"/>
    <mergeCell ref="PCS46:PCT46"/>
    <mergeCell ref="PDD46:PDE46"/>
    <mergeCell ref="PDO46:PDP46"/>
    <mergeCell ref="PDZ46:PEA46"/>
    <mergeCell ref="PEK46:PEL46"/>
    <mergeCell ref="PEV46:PEW46"/>
    <mergeCell ref="PAE46:PAF46"/>
    <mergeCell ref="PAP46:PAQ46"/>
    <mergeCell ref="PBA46:PBB46"/>
    <mergeCell ref="PBL46:PBM46"/>
    <mergeCell ref="PBW46:PBX46"/>
    <mergeCell ref="PCH46:PCI46"/>
    <mergeCell ref="OXQ46:OXR46"/>
    <mergeCell ref="OYB46:OYC46"/>
    <mergeCell ref="OYM46:OYN46"/>
    <mergeCell ref="OYX46:OYY46"/>
    <mergeCell ref="OZI46:OZJ46"/>
    <mergeCell ref="OZT46:OZU46"/>
    <mergeCell ref="OVC46:OVD46"/>
    <mergeCell ref="OVN46:OVO46"/>
    <mergeCell ref="OVY46:OVZ46"/>
    <mergeCell ref="OWJ46:OWK46"/>
    <mergeCell ref="OWU46:OWV46"/>
    <mergeCell ref="OXF46:OXG46"/>
    <mergeCell ref="OSO46:OSP46"/>
    <mergeCell ref="OSZ46:OTA46"/>
    <mergeCell ref="OTK46:OTL46"/>
    <mergeCell ref="OTV46:OTW46"/>
    <mergeCell ref="OUG46:OUH46"/>
    <mergeCell ref="OUR46:OUS46"/>
    <mergeCell ref="OQA46:OQB46"/>
    <mergeCell ref="OQL46:OQM46"/>
    <mergeCell ref="OQW46:OQX46"/>
    <mergeCell ref="ORH46:ORI46"/>
    <mergeCell ref="ORS46:ORT46"/>
    <mergeCell ref="OSD46:OSE46"/>
    <mergeCell ref="ONM46:ONN46"/>
    <mergeCell ref="ONX46:ONY46"/>
    <mergeCell ref="OOI46:OOJ46"/>
    <mergeCell ref="OOT46:OOU46"/>
    <mergeCell ref="OPE46:OPF46"/>
    <mergeCell ref="OPP46:OPQ46"/>
    <mergeCell ref="OKY46:OKZ46"/>
    <mergeCell ref="OLJ46:OLK46"/>
    <mergeCell ref="OLU46:OLV46"/>
    <mergeCell ref="OMF46:OMG46"/>
    <mergeCell ref="OMQ46:OMR46"/>
    <mergeCell ref="ONB46:ONC46"/>
    <mergeCell ref="OIK46:OIL46"/>
    <mergeCell ref="OIV46:OIW46"/>
    <mergeCell ref="OJG46:OJH46"/>
    <mergeCell ref="OJR46:OJS46"/>
    <mergeCell ref="OKC46:OKD46"/>
    <mergeCell ref="OKN46:OKO46"/>
    <mergeCell ref="OFW46:OFX46"/>
    <mergeCell ref="OGH46:OGI46"/>
    <mergeCell ref="OGS46:OGT46"/>
    <mergeCell ref="OHD46:OHE46"/>
    <mergeCell ref="OHO46:OHP46"/>
    <mergeCell ref="OHZ46:OIA46"/>
    <mergeCell ref="ODI46:ODJ46"/>
    <mergeCell ref="ODT46:ODU46"/>
    <mergeCell ref="OEE46:OEF46"/>
    <mergeCell ref="OEP46:OEQ46"/>
    <mergeCell ref="OFA46:OFB46"/>
    <mergeCell ref="OFL46:OFM46"/>
    <mergeCell ref="OAU46:OAV46"/>
    <mergeCell ref="OBF46:OBG46"/>
    <mergeCell ref="OBQ46:OBR46"/>
    <mergeCell ref="OCB46:OCC46"/>
    <mergeCell ref="OCM46:OCN46"/>
    <mergeCell ref="OCX46:OCY46"/>
    <mergeCell ref="NYG46:NYH46"/>
    <mergeCell ref="NYR46:NYS46"/>
    <mergeCell ref="NZC46:NZD46"/>
    <mergeCell ref="NZN46:NZO46"/>
    <mergeCell ref="NZY46:NZZ46"/>
    <mergeCell ref="OAJ46:OAK46"/>
    <mergeCell ref="NVS46:NVT46"/>
    <mergeCell ref="NWD46:NWE46"/>
    <mergeCell ref="NWO46:NWP46"/>
    <mergeCell ref="NWZ46:NXA46"/>
    <mergeCell ref="NXK46:NXL46"/>
    <mergeCell ref="NXV46:NXW46"/>
    <mergeCell ref="NTE46:NTF46"/>
    <mergeCell ref="NTP46:NTQ46"/>
    <mergeCell ref="NUA46:NUB46"/>
    <mergeCell ref="NUL46:NUM46"/>
    <mergeCell ref="NUW46:NUX46"/>
    <mergeCell ref="NVH46:NVI46"/>
    <mergeCell ref="NQQ46:NQR46"/>
    <mergeCell ref="NRB46:NRC46"/>
    <mergeCell ref="NRM46:NRN46"/>
    <mergeCell ref="NRX46:NRY46"/>
    <mergeCell ref="NSI46:NSJ46"/>
    <mergeCell ref="NST46:NSU46"/>
    <mergeCell ref="NOC46:NOD46"/>
    <mergeCell ref="NON46:NOO46"/>
    <mergeCell ref="NOY46:NOZ46"/>
    <mergeCell ref="NPJ46:NPK46"/>
    <mergeCell ref="NPU46:NPV46"/>
    <mergeCell ref="NQF46:NQG46"/>
    <mergeCell ref="NLO46:NLP46"/>
    <mergeCell ref="NLZ46:NMA46"/>
    <mergeCell ref="NMK46:NML46"/>
    <mergeCell ref="NMV46:NMW46"/>
    <mergeCell ref="NNG46:NNH46"/>
    <mergeCell ref="NNR46:NNS46"/>
    <mergeCell ref="NJA46:NJB46"/>
    <mergeCell ref="NJL46:NJM46"/>
    <mergeCell ref="NJW46:NJX46"/>
    <mergeCell ref="NKH46:NKI46"/>
    <mergeCell ref="NKS46:NKT46"/>
    <mergeCell ref="NLD46:NLE46"/>
    <mergeCell ref="NGM46:NGN46"/>
    <mergeCell ref="NGX46:NGY46"/>
    <mergeCell ref="NHI46:NHJ46"/>
    <mergeCell ref="NHT46:NHU46"/>
    <mergeCell ref="NIE46:NIF46"/>
    <mergeCell ref="NIP46:NIQ46"/>
    <mergeCell ref="NDY46:NDZ46"/>
    <mergeCell ref="NEJ46:NEK46"/>
    <mergeCell ref="NEU46:NEV46"/>
    <mergeCell ref="NFF46:NFG46"/>
    <mergeCell ref="NFQ46:NFR46"/>
    <mergeCell ref="NGB46:NGC46"/>
    <mergeCell ref="NBK46:NBL46"/>
    <mergeCell ref="NBV46:NBW46"/>
    <mergeCell ref="NCG46:NCH46"/>
    <mergeCell ref="NCR46:NCS46"/>
    <mergeCell ref="NDC46:NDD46"/>
    <mergeCell ref="NDN46:NDO46"/>
    <mergeCell ref="MYW46:MYX46"/>
    <mergeCell ref="MZH46:MZI46"/>
    <mergeCell ref="MZS46:MZT46"/>
    <mergeCell ref="NAD46:NAE46"/>
    <mergeCell ref="NAO46:NAP46"/>
    <mergeCell ref="NAZ46:NBA46"/>
    <mergeCell ref="MWI46:MWJ46"/>
    <mergeCell ref="MWT46:MWU46"/>
    <mergeCell ref="MXE46:MXF46"/>
    <mergeCell ref="MXP46:MXQ46"/>
    <mergeCell ref="MYA46:MYB46"/>
    <mergeCell ref="MYL46:MYM46"/>
    <mergeCell ref="MTU46:MTV46"/>
    <mergeCell ref="MUF46:MUG46"/>
    <mergeCell ref="MUQ46:MUR46"/>
    <mergeCell ref="MVB46:MVC46"/>
    <mergeCell ref="MVM46:MVN46"/>
    <mergeCell ref="MVX46:MVY46"/>
    <mergeCell ref="MRG46:MRH46"/>
    <mergeCell ref="MRR46:MRS46"/>
    <mergeCell ref="MSC46:MSD46"/>
    <mergeCell ref="MSN46:MSO46"/>
    <mergeCell ref="MSY46:MSZ46"/>
    <mergeCell ref="MTJ46:MTK46"/>
    <mergeCell ref="MOS46:MOT46"/>
    <mergeCell ref="MPD46:MPE46"/>
    <mergeCell ref="MPO46:MPP46"/>
    <mergeCell ref="MPZ46:MQA46"/>
    <mergeCell ref="MQK46:MQL46"/>
    <mergeCell ref="MQV46:MQW46"/>
    <mergeCell ref="MME46:MMF46"/>
    <mergeCell ref="MMP46:MMQ46"/>
    <mergeCell ref="MNA46:MNB46"/>
    <mergeCell ref="MNL46:MNM46"/>
    <mergeCell ref="MNW46:MNX46"/>
    <mergeCell ref="MOH46:MOI46"/>
    <mergeCell ref="MJQ46:MJR46"/>
    <mergeCell ref="MKB46:MKC46"/>
    <mergeCell ref="MKM46:MKN46"/>
    <mergeCell ref="MKX46:MKY46"/>
    <mergeCell ref="MLI46:MLJ46"/>
    <mergeCell ref="MLT46:MLU46"/>
    <mergeCell ref="MHC46:MHD46"/>
    <mergeCell ref="MHN46:MHO46"/>
    <mergeCell ref="MHY46:MHZ46"/>
    <mergeCell ref="MIJ46:MIK46"/>
    <mergeCell ref="MIU46:MIV46"/>
    <mergeCell ref="MJF46:MJG46"/>
    <mergeCell ref="MEO46:MEP46"/>
    <mergeCell ref="MEZ46:MFA46"/>
    <mergeCell ref="MFK46:MFL46"/>
    <mergeCell ref="MFV46:MFW46"/>
    <mergeCell ref="MGG46:MGH46"/>
    <mergeCell ref="MGR46:MGS46"/>
    <mergeCell ref="MCA46:MCB46"/>
    <mergeCell ref="MCL46:MCM46"/>
    <mergeCell ref="MCW46:MCX46"/>
    <mergeCell ref="MDH46:MDI46"/>
    <mergeCell ref="MDS46:MDT46"/>
    <mergeCell ref="MED46:MEE46"/>
    <mergeCell ref="LZM46:LZN46"/>
    <mergeCell ref="LZX46:LZY46"/>
    <mergeCell ref="MAI46:MAJ46"/>
    <mergeCell ref="MAT46:MAU46"/>
    <mergeCell ref="MBE46:MBF46"/>
    <mergeCell ref="MBP46:MBQ46"/>
    <mergeCell ref="LWY46:LWZ46"/>
    <mergeCell ref="LXJ46:LXK46"/>
    <mergeCell ref="LXU46:LXV46"/>
    <mergeCell ref="LYF46:LYG46"/>
    <mergeCell ref="LYQ46:LYR46"/>
    <mergeCell ref="LZB46:LZC46"/>
    <mergeCell ref="LUK46:LUL46"/>
    <mergeCell ref="LUV46:LUW46"/>
    <mergeCell ref="LVG46:LVH46"/>
    <mergeCell ref="LVR46:LVS46"/>
    <mergeCell ref="LWC46:LWD46"/>
    <mergeCell ref="LWN46:LWO46"/>
    <mergeCell ref="LRW46:LRX46"/>
    <mergeCell ref="LSH46:LSI46"/>
    <mergeCell ref="LSS46:LST46"/>
    <mergeCell ref="LTD46:LTE46"/>
    <mergeCell ref="LTO46:LTP46"/>
    <mergeCell ref="LTZ46:LUA46"/>
    <mergeCell ref="LPI46:LPJ46"/>
    <mergeCell ref="LPT46:LPU46"/>
    <mergeCell ref="LQE46:LQF46"/>
    <mergeCell ref="LQP46:LQQ46"/>
    <mergeCell ref="LRA46:LRB46"/>
    <mergeCell ref="LRL46:LRM46"/>
    <mergeCell ref="LMU46:LMV46"/>
    <mergeCell ref="LNF46:LNG46"/>
    <mergeCell ref="LNQ46:LNR46"/>
    <mergeCell ref="LOB46:LOC46"/>
    <mergeCell ref="LOM46:LON46"/>
    <mergeCell ref="LOX46:LOY46"/>
    <mergeCell ref="LKG46:LKH46"/>
    <mergeCell ref="LKR46:LKS46"/>
    <mergeCell ref="LLC46:LLD46"/>
    <mergeCell ref="LLN46:LLO46"/>
    <mergeCell ref="LLY46:LLZ46"/>
    <mergeCell ref="LMJ46:LMK46"/>
    <mergeCell ref="LHS46:LHT46"/>
    <mergeCell ref="LID46:LIE46"/>
    <mergeCell ref="LIO46:LIP46"/>
    <mergeCell ref="LIZ46:LJA46"/>
    <mergeCell ref="LJK46:LJL46"/>
    <mergeCell ref="LJV46:LJW46"/>
    <mergeCell ref="LFE46:LFF46"/>
    <mergeCell ref="LFP46:LFQ46"/>
    <mergeCell ref="LGA46:LGB46"/>
    <mergeCell ref="LGL46:LGM46"/>
    <mergeCell ref="LGW46:LGX46"/>
    <mergeCell ref="LHH46:LHI46"/>
    <mergeCell ref="LCQ46:LCR46"/>
    <mergeCell ref="LDB46:LDC46"/>
    <mergeCell ref="LDM46:LDN46"/>
    <mergeCell ref="LDX46:LDY46"/>
    <mergeCell ref="LEI46:LEJ46"/>
    <mergeCell ref="LET46:LEU46"/>
    <mergeCell ref="LAC46:LAD46"/>
    <mergeCell ref="LAN46:LAO46"/>
    <mergeCell ref="LAY46:LAZ46"/>
    <mergeCell ref="LBJ46:LBK46"/>
    <mergeCell ref="LBU46:LBV46"/>
    <mergeCell ref="LCF46:LCG46"/>
    <mergeCell ref="KXO46:KXP46"/>
    <mergeCell ref="KXZ46:KYA46"/>
    <mergeCell ref="KYK46:KYL46"/>
    <mergeCell ref="KYV46:KYW46"/>
    <mergeCell ref="KZG46:KZH46"/>
    <mergeCell ref="KZR46:KZS46"/>
    <mergeCell ref="KVA46:KVB46"/>
    <mergeCell ref="KVL46:KVM46"/>
    <mergeCell ref="KVW46:KVX46"/>
    <mergeCell ref="KWH46:KWI46"/>
    <mergeCell ref="KWS46:KWT46"/>
    <mergeCell ref="KXD46:KXE46"/>
    <mergeCell ref="KSM46:KSN46"/>
    <mergeCell ref="KSX46:KSY46"/>
    <mergeCell ref="KTI46:KTJ46"/>
    <mergeCell ref="KTT46:KTU46"/>
    <mergeCell ref="KUE46:KUF46"/>
    <mergeCell ref="KUP46:KUQ46"/>
    <mergeCell ref="KPY46:KPZ46"/>
    <mergeCell ref="KQJ46:KQK46"/>
    <mergeCell ref="KQU46:KQV46"/>
    <mergeCell ref="KRF46:KRG46"/>
    <mergeCell ref="KRQ46:KRR46"/>
    <mergeCell ref="KSB46:KSC46"/>
    <mergeCell ref="KNK46:KNL46"/>
    <mergeCell ref="KNV46:KNW46"/>
    <mergeCell ref="KOG46:KOH46"/>
    <mergeCell ref="KOR46:KOS46"/>
    <mergeCell ref="KPC46:KPD46"/>
    <mergeCell ref="KPN46:KPO46"/>
    <mergeCell ref="KKW46:KKX46"/>
    <mergeCell ref="KLH46:KLI46"/>
    <mergeCell ref="KLS46:KLT46"/>
    <mergeCell ref="KMD46:KME46"/>
    <mergeCell ref="KMO46:KMP46"/>
    <mergeCell ref="KMZ46:KNA46"/>
    <mergeCell ref="KII46:KIJ46"/>
    <mergeCell ref="KIT46:KIU46"/>
    <mergeCell ref="KJE46:KJF46"/>
    <mergeCell ref="KJP46:KJQ46"/>
    <mergeCell ref="KKA46:KKB46"/>
    <mergeCell ref="KKL46:KKM46"/>
    <mergeCell ref="KFU46:KFV46"/>
    <mergeCell ref="KGF46:KGG46"/>
    <mergeCell ref="KGQ46:KGR46"/>
    <mergeCell ref="KHB46:KHC46"/>
    <mergeCell ref="KHM46:KHN46"/>
    <mergeCell ref="KHX46:KHY46"/>
    <mergeCell ref="KDG46:KDH46"/>
    <mergeCell ref="KDR46:KDS46"/>
    <mergeCell ref="KEC46:KED46"/>
    <mergeCell ref="KEN46:KEO46"/>
    <mergeCell ref="KEY46:KEZ46"/>
    <mergeCell ref="KFJ46:KFK46"/>
    <mergeCell ref="KAS46:KAT46"/>
    <mergeCell ref="KBD46:KBE46"/>
    <mergeCell ref="KBO46:KBP46"/>
    <mergeCell ref="KBZ46:KCA46"/>
    <mergeCell ref="KCK46:KCL46"/>
    <mergeCell ref="KCV46:KCW46"/>
    <mergeCell ref="JYE46:JYF46"/>
    <mergeCell ref="JYP46:JYQ46"/>
    <mergeCell ref="JZA46:JZB46"/>
    <mergeCell ref="JZL46:JZM46"/>
    <mergeCell ref="JZW46:JZX46"/>
    <mergeCell ref="KAH46:KAI46"/>
    <mergeCell ref="JVQ46:JVR46"/>
    <mergeCell ref="JWB46:JWC46"/>
    <mergeCell ref="JWM46:JWN46"/>
    <mergeCell ref="JWX46:JWY46"/>
    <mergeCell ref="JXI46:JXJ46"/>
    <mergeCell ref="JXT46:JXU46"/>
    <mergeCell ref="JTC46:JTD46"/>
    <mergeCell ref="JTN46:JTO46"/>
    <mergeCell ref="JTY46:JTZ46"/>
    <mergeCell ref="JUJ46:JUK46"/>
    <mergeCell ref="JUU46:JUV46"/>
    <mergeCell ref="JVF46:JVG46"/>
    <mergeCell ref="JQO46:JQP46"/>
    <mergeCell ref="JQZ46:JRA46"/>
    <mergeCell ref="JRK46:JRL46"/>
    <mergeCell ref="JRV46:JRW46"/>
    <mergeCell ref="JSG46:JSH46"/>
    <mergeCell ref="JSR46:JSS46"/>
    <mergeCell ref="JOA46:JOB46"/>
    <mergeCell ref="JOL46:JOM46"/>
    <mergeCell ref="JOW46:JOX46"/>
    <mergeCell ref="JPH46:JPI46"/>
    <mergeCell ref="JPS46:JPT46"/>
    <mergeCell ref="JQD46:JQE46"/>
    <mergeCell ref="JLM46:JLN46"/>
    <mergeCell ref="JLX46:JLY46"/>
    <mergeCell ref="JMI46:JMJ46"/>
    <mergeCell ref="JMT46:JMU46"/>
    <mergeCell ref="JNE46:JNF46"/>
    <mergeCell ref="JNP46:JNQ46"/>
    <mergeCell ref="JIY46:JIZ46"/>
    <mergeCell ref="JJJ46:JJK46"/>
    <mergeCell ref="JJU46:JJV46"/>
    <mergeCell ref="JKF46:JKG46"/>
    <mergeCell ref="JKQ46:JKR46"/>
    <mergeCell ref="JLB46:JLC46"/>
    <mergeCell ref="JGK46:JGL46"/>
    <mergeCell ref="JGV46:JGW46"/>
    <mergeCell ref="JHG46:JHH46"/>
    <mergeCell ref="JHR46:JHS46"/>
    <mergeCell ref="JIC46:JID46"/>
    <mergeCell ref="JIN46:JIO46"/>
    <mergeCell ref="JDW46:JDX46"/>
    <mergeCell ref="JEH46:JEI46"/>
    <mergeCell ref="JES46:JET46"/>
    <mergeCell ref="JFD46:JFE46"/>
    <mergeCell ref="JFO46:JFP46"/>
    <mergeCell ref="JFZ46:JGA46"/>
    <mergeCell ref="JBI46:JBJ46"/>
    <mergeCell ref="JBT46:JBU46"/>
    <mergeCell ref="JCE46:JCF46"/>
    <mergeCell ref="JCP46:JCQ46"/>
    <mergeCell ref="JDA46:JDB46"/>
    <mergeCell ref="JDL46:JDM46"/>
    <mergeCell ref="IYU46:IYV46"/>
    <mergeCell ref="IZF46:IZG46"/>
    <mergeCell ref="IZQ46:IZR46"/>
    <mergeCell ref="JAB46:JAC46"/>
    <mergeCell ref="JAM46:JAN46"/>
    <mergeCell ref="JAX46:JAY46"/>
    <mergeCell ref="IWG46:IWH46"/>
    <mergeCell ref="IWR46:IWS46"/>
    <mergeCell ref="IXC46:IXD46"/>
    <mergeCell ref="IXN46:IXO46"/>
    <mergeCell ref="IXY46:IXZ46"/>
    <mergeCell ref="IYJ46:IYK46"/>
    <mergeCell ref="ITS46:ITT46"/>
    <mergeCell ref="IUD46:IUE46"/>
    <mergeCell ref="IUO46:IUP46"/>
    <mergeCell ref="IUZ46:IVA46"/>
    <mergeCell ref="IVK46:IVL46"/>
    <mergeCell ref="IVV46:IVW46"/>
    <mergeCell ref="IRE46:IRF46"/>
    <mergeCell ref="IRP46:IRQ46"/>
    <mergeCell ref="ISA46:ISB46"/>
    <mergeCell ref="ISL46:ISM46"/>
    <mergeCell ref="ISW46:ISX46"/>
    <mergeCell ref="ITH46:ITI46"/>
    <mergeCell ref="IOQ46:IOR46"/>
    <mergeCell ref="IPB46:IPC46"/>
    <mergeCell ref="IPM46:IPN46"/>
    <mergeCell ref="IPX46:IPY46"/>
    <mergeCell ref="IQI46:IQJ46"/>
    <mergeCell ref="IQT46:IQU46"/>
    <mergeCell ref="IMC46:IMD46"/>
    <mergeCell ref="IMN46:IMO46"/>
    <mergeCell ref="IMY46:IMZ46"/>
    <mergeCell ref="INJ46:INK46"/>
    <mergeCell ref="INU46:INV46"/>
    <mergeCell ref="IOF46:IOG46"/>
    <mergeCell ref="IJO46:IJP46"/>
    <mergeCell ref="IJZ46:IKA46"/>
    <mergeCell ref="IKK46:IKL46"/>
    <mergeCell ref="IKV46:IKW46"/>
    <mergeCell ref="ILG46:ILH46"/>
    <mergeCell ref="ILR46:ILS46"/>
    <mergeCell ref="IHA46:IHB46"/>
    <mergeCell ref="IHL46:IHM46"/>
    <mergeCell ref="IHW46:IHX46"/>
    <mergeCell ref="IIH46:III46"/>
    <mergeCell ref="IIS46:IIT46"/>
    <mergeCell ref="IJD46:IJE46"/>
    <mergeCell ref="IEM46:IEN46"/>
    <mergeCell ref="IEX46:IEY46"/>
    <mergeCell ref="IFI46:IFJ46"/>
    <mergeCell ref="IFT46:IFU46"/>
    <mergeCell ref="IGE46:IGF46"/>
    <mergeCell ref="IGP46:IGQ46"/>
    <mergeCell ref="IBY46:IBZ46"/>
    <mergeCell ref="ICJ46:ICK46"/>
    <mergeCell ref="ICU46:ICV46"/>
    <mergeCell ref="IDF46:IDG46"/>
    <mergeCell ref="IDQ46:IDR46"/>
    <mergeCell ref="IEB46:IEC46"/>
    <mergeCell ref="HZK46:HZL46"/>
    <mergeCell ref="HZV46:HZW46"/>
    <mergeCell ref="IAG46:IAH46"/>
    <mergeCell ref="IAR46:IAS46"/>
    <mergeCell ref="IBC46:IBD46"/>
    <mergeCell ref="IBN46:IBO46"/>
    <mergeCell ref="HWW46:HWX46"/>
    <mergeCell ref="HXH46:HXI46"/>
    <mergeCell ref="HXS46:HXT46"/>
    <mergeCell ref="HYD46:HYE46"/>
    <mergeCell ref="HYO46:HYP46"/>
    <mergeCell ref="HYZ46:HZA46"/>
    <mergeCell ref="HUI46:HUJ46"/>
    <mergeCell ref="HUT46:HUU46"/>
    <mergeCell ref="HVE46:HVF46"/>
    <mergeCell ref="HVP46:HVQ46"/>
    <mergeCell ref="HWA46:HWB46"/>
    <mergeCell ref="HWL46:HWM46"/>
    <mergeCell ref="HRU46:HRV46"/>
    <mergeCell ref="HSF46:HSG46"/>
    <mergeCell ref="HSQ46:HSR46"/>
    <mergeCell ref="HTB46:HTC46"/>
    <mergeCell ref="HTM46:HTN46"/>
    <mergeCell ref="HTX46:HTY46"/>
    <mergeCell ref="HPG46:HPH46"/>
    <mergeCell ref="HPR46:HPS46"/>
    <mergeCell ref="HQC46:HQD46"/>
    <mergeCell ref="HQN46:HQO46"/>
    <mergeCell ref="HQY46:HQZ46"/>
    <mergeCell ref="HRJ46:HRK46"/>
    <mergeCell ref="HMS46:HMT46"/>
    <mergeCell ref="HND46:HNE46"/>
    <mergeCell ref="HNO46:HNP46"/>
    <mergeCell ref="HNZ46:HOA46"/>
    <mergeCell ref="HOK46:HOL46"/>
    <mergeCell ref="HOV46:HOW46"/>
    <mergeCell ref="HKE46:HKF46"/>
    <mergeCell ref="HKP46:HKQ46"/>
    <mergeCell ref="HLA46:HLB46"/>
    <mergeCell ref="HLL46:HLM46"/>
    <mergeCell ref="HLW46:HLX46"/>
    <mergeCell ref="HMH46:HMI46"/>
    <mergeCell ref="HHQ46:HHR46"/>
    <mergeCell ref="HIB46:HIC46"/>
    <mergeCell ref="HIM46:HIN46"/>
    <mergeCell ref="HIX46:HIY46"/>
    <mergeCell ref="HJI46:HJJ46"/>
    <mergeCell ref="HJT46:HJU46"/>
    <mergeCell ref="HFC46:HFD46"/>
    <mergeCell ref="HFN46:HFO46"/>
    <mergeCell ref="HFY46:HFZ46"/>
    <mergeCell ref="HGJ46:HGK46"/>
    <mergeCell ref="HGU46:HGV46"/>
    <mergeCell ref="HHF46:HHG46"/>
    <mergeCell ref="HCO46:HCP46"/>
    <mergeCell ref="HCZ46:HDA46"/>
    <mergeCell ref="HDK46:HDL46"/>
    <mergeCell ref="HDV46:HDW46"/>
    <mergeCell ref="HEG46:HEH46"/>
    <mergeCell ref="HER46:HES46"/>
    <mergeCell ref="HAA46:HAB46"/>
    <mergeCell ref="HAL46:HAM46"/>
    <mergeCell ref="HAW46:HAX46"/>
    <mergeCell ref="HBH46:HBI46"/>
    <mergeCell ref="HBS46:HBT46"/>
    <mergeCell ref="HCD46:HCE46"/>
    <mergeCell ref="GXM46:GXN46"/>
    <mergeCell ref="GXX46:GXY46"/>
    <mergeCell ref="GYI46:GYJ46"/>
    <mergeCell ref="GYT46:GYU46"/>
    <mergeCell ref="GZE46:GZF46"/>
    <mergeCell ref="GZP46:GZQ46"/>
    <mergeCell ref="GUY46:GUZ46"/>
    <mergeCell ref="GVJ46:GVK46"/>
    <mergeCell ref="GVU46:GVV46"/>
    <mergeCell ref="GWF46:GWG46"/>
    <mergeCell ref="GWQ46:GWR46"/>
    <mergeCell ref="GXB46:GXC46"/>
    <mergeCell ref="GSK46:GSL46"/>
    <mergeCell ref="GSV46:GSW46"/>
    <mergeCell ref="GTG46:GTH46"/>
    <mergeCell ref="GTR46:GTS46"/>
    <mergeCell ref="GUC46:GUD46"/>
    <mergeCell ref="GUN46:GUO46"/>
    <mergeCell ref="GPW46:GPX46"/>
    <mergeCell ref="GQH46:GQI46"/>
    <mergeCell ref="GQS46:GQT46"/>
    <mergeCell ref="GRD46:GRE46"/>
    <mergeCell ref="GRO46:GRP46"/>
    <mergeCell ref="GRZ46:GSA46"/>
    <mergeCell ref="GNI46:GNJ46"/>
    <mergeCell ref="GNT46:GNU46"/>
    <mergeCell ref="GOE46:GOF46"/>
    <mergeCell ref="GOP46:GOQ46"/>
    <mergeCell ref="GPA46:GPB46"/>
    <mergeCell ref="GPL46:GPM46"/>
    <mergeCell ref="GKU46:GKV46"/>
    <mergeCell ref="GLF46:GLG46"/>
    <mergeCell ref="GLQ46:GLR46"/>
    <mergeCell ref="GMB46:GMC46"/>
    <mergeCell ref="GMM46:GMN46"/>
    <mergeCell ref="GMX46:GMY46"/>
    <mergeCell ref="GIG46:GIH46"/>
    <mergeCell ref="GIR46:GIS46"/>
    <mergeCell ref="GJC46:GJD46"/>
    <mergeCell ref="GJN46:GJO46"/>
    <mergeCell ref="GJY46:GJZ46"/>
    <mergeCell ref="GKJ46:GKK46"/>
    <mergeCell ref="GFS46:GFT46"/>
    <mergeCell ref="GGD46:GGE46"/>
    <mergeCell ref="GGO46:GGP46"/>
    <mergeCell ref="GGZ46:GHA46"/>
    <mergeCell ref="GHK46:GHL46"/>
    <mergeCell ref="GHV46:GHW46"/>
    <mergeCell ref="GDE46:GDF46"/>
    <mergeCell ref="GDP46:GDQ46"/>
    <mergeCell ref="GEA46:GEB46"/>
    <mergeCell ref="GEL46:GEM46"/>
    <mergeCell ref="GEW46:GEX46"/>
    <mergeCell ref="GFH46:GFI46"/>
    <mergeCell ref="GAQ46:GAR46"/>
    <mergeCell ref="GBB46:GBC46"/>
    <mergeCell ref="GBM46:GBN46"/>
    <mergeCell ref="GBX46:GBY46"/>
    <mergeCell ref="GCI46:GCJ46"/>
    <mergeCell ref="GCT46:GCU46"/>
    <mergeCell ref="FYC46:FYD46"/>
    <mergeCell ref="FYN46:FYO46"/>
    <mergeCell ref="FYY46:FYZ46"/>
    <mergeCell ref="FZJ46:FZK46"/>
    <mergeCell ref="FZU46:FZV46"/>
    <mergeCell ref="GAF46:GAG46"/>
    <mergeCell ref="FVO46:FVP46"/>
    <mergeCell ref="FVZ46:FWA46"/>
    <mergeCell ref="FWK46:FWL46"/>
    <mergeCell ref="FWV46:FWW46"/>
    <mergeCell ref="FXG46:FXH46"/>
    <mergeCell ref="FXR46:FXS46"/>
    <mergeCell ref="FTA46:FTB46"/>
    <mergeCell ref="FTL46:FTM46"/>
    <mergeCell ref="FTW46:FTX46"/>
    <mergeCell ref="FUH46:FUI46"/>
    <mergeCell ref="FUS46:FUT46"/>
    <mergeCell ref="FVD46:FVE46"/>
    <mergeCell ref="FQM46:FQN46"/>
    <mergeCell ref="FQX46:FQY46"/>
    <mergeCell ref="FRI46:FRJ46"/>
    <mergeCell ref="FRT46:FRU46"/>
    <mergeCell ref="FSE46:FSF46"/>
    <mergeCell ref="FSP46:FSQ46"/>
    <mergeCell ref="FNY46:FNZ46"/>
    <mergeCell ref="FOJ46:FOK46"/>
    <mergeCell ref="FOU46:FOV46"/>
    <mergeCell ref="FPF46:FPG46"/>
    <mergeCell ref="FPQ46:FPR46"/>
    <mergeCell ref="FQB46:FQC46"/>
    <mergeCell ref="FLK46:FLL46"/>
    <mergeCell ref="FLV46:FLW46"/>
    <mergeCell ref="FMG46:FMH46"/>
    <mergeCell ref="FMR46:FMS46"/>
    <mergeCell ref="FNC46:FND46"/>
    <mergeCell ref="FNN46:FNO46"/>
    <mergeCell ref="FIW46:FIX46"/>
    <mergeCell ref="FJH46:FJI46"/>
    <mergeCell ref="FJS46:FJT46"/>
    <mergeCell ref="FKD46:FKE46"/>
    <mergeCell ref="FKO46:FKP46"/>
    <mergeCell ref="FKZ46:FLA46"/>
    <mergeCell ref="FGI46:FGJ46"/>
    <mergeCell ref="FGT46:FGU46"/>
    <mergeCell ref="FHE46:FHF46"/>
    <mergeCell ref="FHP46:FHQ46"/>
    <mergeCell ref="FIA46:FIB46"/>
    <mergeCell ref="FIL46:FIM46"/>
    <mergeCell ref="FDU46:FDV46"/>
    <mergeCell ref="FEF46:FEG46"/>
    <mergeCell ref="FEQ46:FER46"/>
    <mergeCell ref="FFB46:FFC46"/>
    <mergeCell ref="FFM46:FFN46"/>
    <mergeCell ref="FFX46:FFY46"/>
    <mergeCell ref="FBG46:FBH46"/>
    <mergeCell ref="FBR46:FBS46"/>
    <mergeCell ref="FCC46:FCD46"/>
    <mergeCell ref="FCN46:FCO46"/>
    <mergeCell ref="FCY46:FCZ46"/>
    <mergeCell ref="FDJ46:FDK46"/>
    <mergeCell ref="EYS46:EYT46"/>
    <mergeCell ref="EZD46:EZE46"/>
    <mergeCell ref="EZO46:EZP46"/>
    <mergeCell ref="EZZ46:FAA46"/>
    <mergeCell ref="FAK46:FAL46"/>
    <mergeCell ref="FAV46:FAW46"/>
    <mergeCell ref="EWE46:EWF46"/>
    <mergeCell ref="EWP46:EWQ46"/>
    <mergeCell ref="EXA46:EXB46"/>
    <mergeCell ref="EXL46:EXM46"/>
    <mergeCell ref="EXW46:EXX46"/>
    <mergeCell ref="EYH46:EYI46"/>
    <mergeCell ref="ETQ46:ETR46"/>
    <mergeCell ref="EUB46:EUC46"/>
    <mergeCell ref="EUM46:EUN46"/>
    <mergeCell ref="EUX46:EUY46"/>
    <mergeCell ref="EVI46:EVJ46"/>
    <mergeCell ref="EVT46:EVU46"/>
    <mergeCell ref="ERC46:ERD46"/>
    <mergeCell ref="ERN46:ERO46"/>
    <mergeCell ref="ERY46:ERZ46"/>
    <mergeCell ref="ESJ46:ESK46"/>
    <mergeCell ref="ESU46:ESV46"/>
    <mergeCell ref="ETF46:ETG46"/>
    <mergeCell ref="EOO46:EOP46"/>
    <mergeCell ref="EOZ46:EPA46"/>
    <mergeCell ref="EPK46:EPL46"/>
    <mergeCell ref="EPV46:EPW46"/>
    <mergeCell ref="EQG46:EQH46"/>
    <mergeCell ref="EQR46:EQS46"/>
    <mergeCell ref="EMA46:EMB46"/>
    <mergeCell ref="EML46:EMM46"/>
    <mergeCell ref="EMW46:EMX46"/>
    <mergeCell ref="ENH46:ENI46"/>
    <mergeCell ref="ENS46:ENT46"/>
    <mergeCell ref="EOD46:EOE46"/>
    <mergeCell ref="EJM46:EJN46"/>
    <mergeCell ref="EJX46:EJY46"/>
    <mergeCell ref="EKI46:EKJ46"/>
    <mergeCell ref="EKT46:EKU46"/>
    <mergeCell ref="ELE46:ELF46"/>
    <mergeCell ref="ELP46:ELQ46"/>
    <mergeCell ref="EGY46:EGZ46"/>
    <mergeCell ref="EHJ46:EHK46"/>
    <mergeCell ref="EHU46:EHV46"/>
    <mergeCell ref="EIF46:EIG46"/>
    <mergeCell ref="EIQ46:EIR46"/>
    <mergeCell ref="EJB46:EJC46"/>
    <mergeCell ref="EEK46:EEL46"/>
    <mergeCell ref="EEV46:EEW46"/>
    <mergeCell ref="EFG46:EFH46"/>
    <mergeCell ref="EFR46:EFS46"/>
    <mergeCell ref="EGC46:EGD46"/>
    <mergeCell ref="EGN46:EGO46"/>
    <mergeCell ref="EBW46:EBX46"/>
    <mergeCell ref="ECH46:ECI46"/>
    <mergeCell ref="ECS46:ECT46"/>
    <mergeCell ref="EDD46:EDE46"/>
    <mergeCell ref="EDO46:EDP46"/>
    <mergeCell ref="EDZ46:EEA46"/>
    <mergeCell ref="DZI46:DZJ46"/>
    <mergeCell ref="DZT46:DZU46"/>
    <mergeCell ref="EAE46:EAF46"/>
    <mergeCell ref="EAP46:EAQ46"/>
    <mergeCell ref="EBA46:EBB46"/>
    <mergeCell ref="EBL46:EBM46"/>
    <mergeCell ref="DWU46:DWV46"/>
    <mergeCell ref="DXF46:DXG46"/>
    <mergeCell ref="DXQ46:DXR46"/>
    <mergeCell ref="DYB46:DYC46"/>
    <mergeCell ref="DYM46:DYN46"/>
    <mergeCell ref="DYX46:DYY46"/>
    <mergeCell ref="DUG46:DUH46"/>
    <mergeCell ref="DUR46:DUS46"/>
    <mergeCell ref="DVC46:DVD46"/>
    <mergeCell ref="DVN46:DVO46"/>
    <mergeCell ref="DVY46:DVZ46"/>
    <mergeCell ref="DWJ46:DWK46"/>
    <mergeCell ref="DRS46:DRT46"/>
    <mergeCell ref="DSD46:DSE46"/>
    <mergeCell ref="DSO46:DSP46"/>
    <mergeCell ref="DSZ46:DTA46"/>
    <mergeCell ref="DTK46:DTL46"/>
    <mergeCell ref="DTV46:DTW46"/>
    <mergeCell ref="DPE46:DPF46"/>
    <mergeCell ref="DPP46:DPQ46"/>
    <mergeCell ref="DQA46:DQB46"/>
    <mergeCell ref="DQL46:DQM46"/>
    <mergeCell ref="DQW46:DQX46"/>
    <mergeCell ref="DRH46:DRI46"/>
    <mergeCell ref="DMQ46:DMR46"/>
    <mergeCell ref="DNB46:DNC46"/>
    <mergeCell ref="DNM46:DNN46"/>
    <mergeCell ref="DNX46:DNY46"/>
    <mergeCell ref="DOI46:DOJ46"/>
    <mergeCell ref="DOT46:DOU46"/>
    <mergeCell ref="DKC46:DKD46"/>
    <mergeCell ref="DKN46:DKO46"/>
    <mergeCell ref="DKY46:DKZ46"/>
    <mergeCell ref="DLJ46:DLK46"/>
    <mergeCell ref="DLU46:DLV46"/>
    <mergeCell ref="DMF46:DMG46"/>
    <mergeCell ref="DHO46:DHP46"/>
    <mergeCell ref="DHZ46:DIA46"/>
    <mergeCell ref="DIK46:DIL46"/>
    <mergeCell ref="DIV46:DIW46"/>
    <mergeCell ref="DJG46:DJH46"/>
    <mergeCell ref="DJR46:DJS46"/>
    <mergeCell ref="DFA46:DFB46"/>
    <mergeCell ref="DFL46:DFM46"/>
    <mergeCell ref="DFW46:DFX46"/>
    <mergeCell ref="DGH46:DGI46"/>
    <mergeCell ref="DGS46:DGT46"/>
    <mergeCell ref="DHD46:DHE46"/>
    <mergeCell ref="DCM46:DCN46"/>
    <mergeCell ref="DCX46:DCY46"/>
    <mergeCell ref="DDI46:DDJ46"/>
    <mergeCell ref="DDT46:DDU46"/>
    <mergeCell ref="DEE46:DEF46"/>
    <mergeCell ref="DEP46:DEQ46"/>
    <mergeCell ref="CZY46:CZZ46"/>
    <mergeCell ref="DAJ46:DAK46"/>
    <mergeCell ref="DAU46:DAV46"/>
    <mergeCell ref="DBF46:DBG46"/>
    <mergeCell ref="DBQ46:DBR46"/>
    <mergeCell ref="DCB46:DCC46"/>
    <mergeCell ref="CXK46:CXL46"/>
    <mergeCell ref="CXV46:CXW46"/>
    <mergeCell ref="CYG46:CYH46"/>
    <mergeCell ref="CYR46:CYS46"/>
    <mergeCell ref="CZC46:CZD46"/>
    <mergeCell ref="CZN46:CZO46"/>
    <mergeCell ref="CUW46:CUX46"/>
    <mergeCell ref="CVH46:CVI46"/>
    <mergeCell ref="CVS46:CVT46"/>
    <mergeCell ref="CWD46:CWE46"/>
    <mergeCell ref="CWO46:CWP46"/>
    <mergeCell ref="CWZ46:CXA46"/>
    <mergeCell ref="CSI46:CSJ46"/>
    <mergeCell ref="CST46:CSU46"/>
    <mergeCell ref="CTE46:CTF46"/>
    <mergeCell ref="CTP46:CTQ46"/>
    <mergeCell ref="CUA46:CUB46"/>
    <mergeCell ref="CUL46:CUM46"/>
    <mergeCell ref="CPU46:CPV46"/>
    <mergeCell ref="CQF46:CQG46"/>
    <mergeCell ref="CQQ46:CQR46"/>
    <mergeCell ref="CRB46:CRC46"/>
    <mergeCell ref="CRM46:CRN46"/>
    <mergeCell ref="CRX46:CRY46"/>
    <mergeCell ref="CNG46:CNH46"/>
    <mergeCell ref="CNR46:CNS46"/>
    <mergeCell ref="COC46:COD46"/>
    <mergeCell ref="CON46:COO46"/>
    <mergeCell ref="COY46:COZ46"/>
    <mergeCell ref="CPJ46:CPK46"/>
    <mergeCell ref="CKS46:CKT46"/>
    <mergeCell ref="CLD46:CLE46"/>
    <mergeCell ref="CLO46:CLP46"/>
    <mergeCell ref="CLZ46:CMA46"/>
    <mergeCell ref="CMK46:CML46"/>
    <mergeCell ref="CMV46:CMW46"/>
    <mergeCell ref="CIE46:CIF46"/>
    <mergeCell ref="CIP46:CIQ46"/>
    <mergeCell ref="CJA46:CJB46"/>
    <mergeCell ref="CJL46:CJM46"/>
    <mergeCell ref="CJW46:CJX46"/>
    <mergeCell ref="CKH46:CKI46"/>
    <mergeCell ref="CFQ46:CFR46"/>
    <mergeCell ref="CGB46:CGC46"/>
    <mergeCell ref="CGM46:CGN46"/>
    <mergeCell ref="CGX46:CGY46"/>
    <mergeCell ref="CHI46:CHJ46"/>
    <mergeCell ref="CHT46:CHU46"/>
    <mergeCell ref="CDC46:CDD46"/>
    <mergeCell ref="CDN46:CDO46"/>
    <mergeCell ref="CDY46:CDZ46"/>
    <mergeCell ref="CEJ46:CEK46"/>
    <mergeCell ref="CEU46:CEV46"/>
    <mergeCell ref="CFF46:CFG46"/>
    <mergeCell ref="CAO46:CAP46"/>
    <mergeCell ref="CAZ46:CBA46"/>
    <mergeCell ref="CBK46:CBL46"/>
    <mergeCell ref="CBV46:CBW46"/>
    <mergeCell ref="CCG46:CCH46"/>
    <mergeCell ref="CCR46:CCS46"/>
    <mergeCell ref="BYA46:BYB46"/>
    <mergeCell ref="BYL46:BYM46"/>
    <mergeCell ref="BYW46:BYX46"/>
    <mergeCell ref="BZH46:BZI46"/>
    <mergeCell ref="BZS46:BZT46"/>
    <mergeCell ref="CAD46:CAE46"/>
    <mergeCell ref="BVM46:BVN46"/>
    <mergeCell ref="BVX46:BVY46"/>
    <mergeCell ref="BWI46:BWJ46"/>
    <mergeCell ref="BWT46:BWU46"/>
    <mergeCell ref="BXE46:BXF46"/>
    <mergeCell ref="BXP46:BXQ46"/>
    <mergeCell ref="BSY46:BSZ46"/>
    <mergeCell ref="BTJ46:BTK46"/>
    <mergeCell ref="BTU46:BTV46"/>
    <mergeCell ref="BUF46:BUG46"/>
    <mergeCell ref="BUQ46:BUR46"/>
    <mergeCell ref="BVB46:BVC46"/>
    <mergeCell ref="BQK46:BQL46"/>
    <mergeCell ref="BQV46:BQW46"/>
    <mergeCell ref="BRG46:BRH46"/>
    <mergeCell ref="BRR46:BRS46"/>
    <mergeCell ref="BSC46:BSD46"/>
    <mergeCell ref="BSN46:BSO46"/>
    <mergeCell ref="BNW46:BNX46"/>
    <mergeCell ref="BOH46:BOI46"/>
    <mergeCell ref="BOS46:BOT46"/>
    <mergeCell ref="BPD46:BPE46"/>
    <mergeCell ref="BPO46:BPP46"/>
    <mergeCell ref="BPZ46:BQA46"/>
    <mergeCell ref="BLI46:BLJ46"/>
    <mergeCell ref="BLT46:BLU46"/>
    <mergeCell ref="BME46:BMF46"/>
    <mergeCell ref="BMP46:BMQ46"/>
    <mergeCell ref="BNA46:BNB46"/>
    <mergeCell ref="BNL46:BNM46"/>
    <mergeCell ref="BIU46:BIV46"/>
    <mergeCell ref="BJF46:BJG46"/>
    <mergeCell ref="BJQ46:BJR46"/>
    <mergeCell ref="BKB46:BKC46"/>
    <mergeCell ref="BKM46:BKN46"/>
    <mergeCell ref="BKX46:BKY46"/>
    <mergeCell ref="BGG46:BGH46"/>
    <mergeCell ref="BGR46:BGS46"/>
    <mergeCell ref="BHC46:BHD46"/>
    <mergeCell ref="BHN46:BHO46"/>
    <mergeCell ref="BHY46:BHZ46"/>
    <mergeCell ref="BIJ46:BIK46"/>
    <mergeCell ref="BDS46:BDT46"/>
    <mergeCell ref="BED46:BEE46"/>
    <mergeCell ref="BEO46:BEP46"/>
    <mergeCell ref="BEZ46:BFA46"/>
    <mergeCell ref="BFK46:BFL46"/>
    <mergeCell ref="BFV46:BFW46"/>
    <mergeCell ref="BBE46:BBF46"/>
    <mergeCell ref="BBP46:BBQ46"/>
    <mergeCell ref="BCA46:BCB46"/>
    <mergeCell ref="BCL46:BCM46"/>
    <mergeCell ref="BCW46:BCX46"/>
    <mergeCell ref="BDH46:BDI46"/>
    <mergeCell ref="AYQ46:AYR46"/>
    <mergeCell ref="AZB46:AZC46"/>
    <mergeCell ref="AZM46:AZN46"/>
    <mergeCell ref="AZX46:AZY46"/>
    <mergeCell ref="BAI46:BAJ46"/>
    <mergeCell ref="BAT46:BAU46"/>
    <mergeCell ref="AWC46:AWD46"/>
    <mergeCell ref="AWN46:AWO46"/>
    <mergeCell ref="AWY46:AWZ46"/>
    <mergeCell ref="AXJ46:AXK46"/>
    <mergeCell ref="AXU46:AXV46"/>
    <mergeCell ref="AYF46:AYG46"/>
    <mergeCell ref="ATO46:ATP46"/>
    <mergeCell ref="ATZ46:AUA46"/>
    <mergeCell ref="AUK46:AUL46"/>
    <mergeCell ref="AUV46:AUW46"/>
    <mergeCell ref="AVG46:AVH46"/>
    <mergeCell ref="AVR46:AVS46"/>
    <mergeCell ref="ARA46:ARB46"/>
    <mergeCell ref="ARL46:ARM46"/>
    <mergeCell ref="ARW46:ARX46"/>
    <mergeCell ref="ASH46:ASI46"/>
    <mergeCell ref="ASS46:AST46"/>
    <mergeCell ref="ATD46:ATE46"/>
    <mergeCell ref="AOM46:AON46"/>
    <mergeCell ref="AOX46:AOY46"/>
    <mergeCell ref="API46:APJ46"/>
    <mergeCell ref="APT46:APU46"/>
    <mergeCell ref="AQE46:AQF46"/>
    <mergeCell ref="AQP46:AQQ46"/>
    <mergeCell ref="ALY46:ALZ46"/>
    <mergeCell ref="AMJ46:AMK46"/>
    <mergeCell ref="AMU46:AMV46"/>
    <mergeCell ref="ANF46:ANG46"/>
    <mergeCell ref="ANQ46:ANR46"/>
    <mergeCell ref="AOB46:AOC46"/>
    <mergeCell ref="AJK46:AJL46"/>
    <mergeCell ref="AJV46:AJW46"/>
    <mergeCell ref="AKG46:AKH46"/>
    <mergeCell ref="AKR46:AKS46"/>
    <mergeCell ref="ALC46:ALD46"/>
    <mergeCell ref="ALN46:ALO46"/>
    <mergeCell ref="AGW46:AGX46"/>
    <mergeCell ref="AHH46:AHI46"/>
    <mergeCell ref="AHS46:AHT46"/>
    <mergeCell ref="AID46:AIE46"/>
    <mergeCell ref="AIO46:AIP46"/>
    <mergeCell ref="AIZ46:AJA46"/>
    <mergeCell ref="AEI46:AEJ46"/>
    <mergeCell ref="AET46:AEU46"/>
    <mergeCell ref="AFE46:AFF46"/>
    <mergeCell ref="AFP46:AFQ46"/>
    <mergeCell ref="AGA46:AGB46"/>
    <mergeCell ref="AGL46:AGM46"/>
    <mergeCell ref="ABU46:ABV46"/>
    <mergeCell ref="ACF46:ACG46"/>
    <mergeCell ref="ACQ46:ACR46"/>
    <mergeCell ref="ADB46:ADC46"/>
    <mergeCell ref="ADM46:ADN46"/>
    <mergeCell ref="ADX46:ADY46"/>
    <mergeCell ref="ZG46:ZH46"/>
    <mergeCell ref="ZR46:ZS46"/>
    <mergeCell ref="AAC46:AAD46"/>
    <mergeCell ref="AAN46:AAO46"/>
    <mergeCell ref="AAY46:AAZ46"/>
    <mergeCell ref="ABJ46:ABK46"/>
    <mergeCell ref="WS46:WT46"/>
    <mergeCell ref="XD46:XE46"/>
    <mergeCell ref="XO46:XP46"/>
    <mergeCell ref="XZ46:YA46"/>
    <mergeCell ref="YK46:YL46"/>
    <mergeCell ref="YV46:YW46"/>
    <mergeCell ref="UE46:UF46"/>
    <mergeCell ref="UP46:UQ46"/>
    <mergeCell ref="VA46:VB46"/>
    <mergeCell ref="VL46:VM46"/>
    <mergeCell ref="VW46:VX46"/>
    <mergeCell ref="WH46:WI46"/>
    <mergeCell ref="RQ46:RR46"/>
    <mergeCell ref="SB46:SC46"/>
    <mergeCell ref="SM46:SN46"/>
    <mergeCell ref="SX46:SY46"/>
    <mergeCell ref="TI46:TJ46"/>
    <mergeCell ref="TT46:TU46"/>
    <mergeCell ref="PC46:PD46"/>
    <mergeCell ref="PN46:PO46"/>
    <mergeCell ref="PY46:PZ46"/>
    <mergeCell ref="QJ46:QK46"/>
    <mergeCell ref="QU46:QV46"/>
    <mergeCell ref="RF46:RG46"/>
    <mergeCell ref="MO46:MP46"/>
    <mergeCell ref="MZ46:NA46"/>
    <mergeCell ref="NK46:NL46"/>
    <mergeCell ref="NV46:NW46"/>
    <mergeCell ref="OG46:OH46"/>
    <mergeCell ref="OR46:OS46"/>
    <mergeCell ref="KA46:KB46"/>
    <mergeCell ref="KL46:KM46"/>
    <mergeCell ref="KW46:KX46"/>
    <mergeCell ref="LH46:LI46"/>
    <mergeCell ref="LS46:LT46"/>
    <mergeCell ref="MD46:ME46"/>
    <mergeCell ref="HM46:HN46"/>
    <mergeCell ref="HX46:HY46"/>
    <mergeCell ref="II46:IJ46"/>
    <mergeCell ref="IT46:IU46"/>
    <mergeCell ref="JE46:JF46"/>
    <mergeCell ref="JP46:JQ46"/>
    <mergeCell ref="EY46:EZ46"/>
    <mergeCell ref="FJ46:FK46"/>
    <mergeCell ref="FU46:FV46"/>
    <mergeCell ref="GF46:GG46"/>
    <mergeCell ref="GQ46:GR46"/>
    <mergeCell ref="HB46:HC46"/>
    <mergeCell ref="CK46:CL46"/>
    <mergeCell ref="CV46:CW46"/>
    <mergeCell ref="DG46:DH46"/>
    <mergeCell ref="DR46:DS46"/>
    <mergeCell ref="EC46:ED46"/>
    <mergeCell ref="EN46:EO46"/>
    <mergeCell ref="W46:X46"/>
    <mergeCell ref="AH46:AI46"/>
    <mergeCell ref="AS46:AT46"/>
    <mergeCell ref="BD46:BE46"/>
    <mergeCell ref="BO46:BP46"/>
    <mergeCell ref="BZ46:CA46"/>
    <mergeCell ref="H43:H44"/>
    <mergeCell ref="I43:I44"/>
    <mergeCell ref="J43:J44"/>
    <mergeCell ref="K43:K44"/>
    <mergeCell ref="A46:B46"/>
    <mergeCell ref="L46:M46"/>
    <mergeCell ref="H41:H42"/>
    <mergeCell ref="I41:I42"/>
    <mergeCell ref="J41:J42"/>
    <mergeCell ref="K41:K42"/>
    <mergeCell ref="A43:A44"/>
    <mergeCell ref="C43:C44"/>
    <mergeCell ref="D43:D44"/>
    <mergeCell ref="E43:E44"/>
    <mergeCell ref="F43:F44"/>
    <mergeCell ref="G43:G44"/>
    <mergeCell ref="H39:H40"/>
    <mergeCell ref="I39:I40"/>
    <mergeCell ref="J39:J40"/>
    <mergeCell ref="K39:K40"/>
    <mergeCell ref="A41:A42"/>
    <mergeCell ref="C41:C42"/>
    <mergeCell ref="D41:D42"/>
    <mergeCell ref="E41:E42"/>
    <mergeCell ref="F41:F42"/>
    <mergeCell ref="G41:G42"/>
    <mergeCell ref="A39:A40"/>
    <mergeCell ref="C39:C40"/>
    <mergeCell ref="D39:D40"/>
    <mergeCell ref="E39:E40"/>
    <mergeCell ref="F39:F40"/>
    <mergeCell ref="G39:G40"/>
    <mergeCell ref="J36:K36"/>
    <mergeCell ref="D37:E37"/>
    <mergeCell ref="F37:G37"/>
    <mergeCell ref="H37:H38"/>
    <mergeCell ref="I37:I38"/>
    <mergeCell ref="J37:J38"/>
    <mergeCell ref="K37:K38"/>
    <mergeCell ref="J30:J31"/>
    <mergeCell ref="K30:K31"/>
    <mergeCell ref="P30:Q30"/>
    <mergeCell ref="A33:B33"/>
    <mergeCell ref="A34:K34"/>
    <mergeCell ref="A35:A38"/>
    <mergeCell ref="B35:B38"/>
    <mergeCell ref="C35:C38"/>
    <mergeCell ref="D35:K35"/>
    <mergeCell ref="D36:I36"/>
    <mergeCell ref="J28:J29"/>
    <mergeCell ref="K28:K29"/>
    <mergeCell ref="A30:A31"/>
    <mergeCell ref="C30:C31"/>
    <mergeCell ref="D30:D31"/>
    <mergeCell ref="E30:E31"/>
    <mergeCell ref="F30:F31"/>
    <mergeCell ref="G30:G31"/>
    <mergeCell ref="H30:H31"/>
    <mergeCell ref="I30:I31"/>
    <mergeCell ref="J26:J27"/>
    <mergeCell ref="K26:K27"/>
    <mergeCell ref="A28:A29"/>
    <mergeCell ref="C28:C29"/>
    <mergeCell ref="D28:D29"/>
    <mergeCell ref="E28:E29"/>
    <mergeCell ref="F28:F29"/>
    <mergeCell ref="G28:G29"/>
    <mergeCell ref="H28:H29"/>
    <mergeCell ref="I28:I29"/>
    <mergeCell ref="J24:J25"/>
    <mergeCell ref="K24:K25"/>
    <mergeCell ref="A26:A27"/>
    <mergeCell ref="C26:C27"/>
    <mergeCell ref="D26:D27"/>
    <mergeCell ref="E26:E27"/>
    <mergeCell ref="F26:F27"/>
    <mergeCell ref="G26:G27"/>
    <mergeCell ref="H26:H27"/>
    <mergeCell ref="I26:I27"/>
    <mergeCell ref="A22:A25"/>
    <mergeCell ref="B22:B25"/>
    <mergeCell ref="C22:C25"/>
    <mergeCell ref="D22:K22"/>
    <mergeCell ref="D23:I23"/>
    <mergeCell ref="J23:K23"/>
    <mergeCell ref="D24:E24"/>
    <mergeCell ref="F24:G24"/>
    <mergeCell ref="H24:H25"/>
    <mergeCell ref="I24:I25"/>
    <mergeCell ref="H17:H18"/>
    <mergeCell ref="I17:I18"/>
    <mergeCell ref="J17:J18"/>
    <mergeCell ref="K17:K18"/>
    <mergeCell ref="A20:B20"/>
    <mergeCell ref="A21:K21"/>
    <mergeCell ref="H15:H16"/>
    <mergeCell ref="I15:I16"/>
    <mergeCell ref="J15:J16"/>
    <mergeCell ref="K15:K16"/>
    <mergeCell ref="A17:A18"/>
    <mergeCell ref="C17:C18"/>
    <mergeCell ref="D17:D18"/>
    <mergeCell ref="E17:E18"/>
    <mergeCell ref="F17:F18"/>
    <mergeCell ref="G17:G18"/>
    <mergeCell ref="H13:H14"/>
    <mergeCell ref="I13:I14"/>
    <mergeCell ref="J13:J14"/>
    <mergeCell ref="K13:K14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J10:K10"/>
    <mergeCell ref="D11:E11"/>
    <mergeCell ref="F11:G11"/>
    <mergeCell ref="H11:H12"/>
    <mergeCell ref="I11:I12"/>
    <mergeCell ref="J11:J12"/>
    <mergeCell ref="K11:K12"/>
    <mergeCell ref="A2:K2"/>
    <mergeCell ref="A4:K4"/>
    <mergeCell ref="A6:K6"/>
    <mergeCell ref="J7:K7"/>
    <mergeCell ref="A8:K8"/>
    <mergeCell ref="A9:A12"/>
    <mergeCell ref="B9:B12"/>
    <mergeCell ref="C9:C12"/>
    <mergeCell ref="D9:K9"/>
    <mergeCell ref="D10:I10"/>
  </mergeCells>
  <printOptions horizontalCentered="1"/>
  <pageMargins left="0.6" right="0.2" top="0.5" bottom="0.25" header="0.5" footer="0.5"/>
  <pageSetup paperSize="9" scale="93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Q64"/>
  <sheetViews>
    <sheetView view="pageBreakPreview" zoomScaleSheetLayoutView="100" workbookViewId="0">
      <selection activeCell="P8" sqref="P8:Q8"/>
    </sheetView>
  </sheetViews>
  <sheetFormatPr defaultColWidth="9.140625" defaultRowHeight="15"/>
  <cols>
    <col min="1" max="1" width="10.7109375" style="1" customWidth="1"/>
    <col min="2" max="3" width="7.7109375" style="190" customWidth="1"/>
    <col min="4" max="4" width="10.7109375" style="828" customWidth="1"/>
    <col min="5" max="5" width="7.7109375" style="190" customWidth="1"/>
    <col min="6" max="6" width="10.7109375" style="828" customWidth="1"/>
    <col min="7" max="7" width="7.7109375" style="829" customWidth="1"/>
    <col min="8" max="8" width="7.7109375" style="190" customWidth="1"/>
    <col min="9" max="9" width="13.28515625" style="190" hidden="1" customWidth="1"/>
    <col min="10" max="10" width="10.7109375" style="828" customWidth="1"/>
    <col min="11" max="11" width="7.7109375" style="190" customWidth="1"/>
    <col min="12" max="12" width="10.7109375" style="828" customWidth="1"/>
    <col min="13" max="14" width="7.7109375" style="190" customWidth="1"/>
    <col min="15" max="15" width="10.7109375" style="190" customWidth="1"/>
    <col min="16" max="16" width="7.7109375" style="190" customWidth="1"/>
    <col min="17" max="17" width="10.7109375" style="190" customWidth="1"/>
    <col min="18" max="253" width="9.140625" style="1"/>
    <col min="254" max="254" width="6.85546875" style="1" customWidth="1"/>
    <col min="255" max="255" width="11.140625" style="1" customWidth="1"/>
    <col min="256" max="256" width="8.42578125" style="1" bestFit="1" customWidth="1"/>
    <col min="257" max="257" width="12.5703125" style="1" customWidth="1"/>
    <col min="258" max="258" width="9.85546875" style="1" bestFit="1" customWidth="1"/>
    <col min="259" max="259" width="12.5703125" style="1" customWidth="1"/>
    <col min="260" max="260" width="11.42578125" style="1" bestFit="1" customWidth="1"/>
    <col min="261" max="261" width="8.42578125" style="1" bestFit="1" customWidth="1"/>
    <col min="262" max="262" width="12.5703125" style="1" customWidth="1"/>
    <col min="263" max="263" width="8.42578125" style="1" bestFit="1" customWidth="1"/>
    <col min="264" max="264" width="12.5703125" style="1" customWidth="1"/>
    <col min="265" max="267" width="12.140625" style="1" customWidth="1"/>
    <col min="268" max="509" width="9.140625" style="1"/>
    <col min="510" max="510" width="6.85546875" style="1" customWidth="1"/>
    <col min="511" max="511" width="11.140625" style="1" customWidth="1"/>
    <col min="512" max="512" width="8.42578125" style="1" bestFit="1" customWidth="1"/>
    <col min="513" max="513" width="12.5703125" style="1" customWidth="1"/>
    <col min="514" max="514" width="9.85546875" style="1" bestFit="1" customWidth="1"/>
    <col min="515" max="515" width="12.5703125" style="1" customWidth="1"/>
    <col min="516" max="516" width="11.42578125" style="1" bestFit="1" customWidth="1"/>
    <col min="517" max="517" width="8.42578125" style="1" bestFit="1" customWidth="1"/>
    <col min="518" max="518" width="12.5703125" style="1" customWidth="1"/>
    <col min="519" max="519" width="8.42578125" style="1" bestFit="1" customWidth="1"/>
    <col min="520" max="520" width="12.5703125" style="1" customWidth="1"/>
    <col min="521" max="523" width="12.140625" style="1" customWidth="1"/>
    <col min="524" max="765" width="9.140625" style="1"/>
    <col min="766" max="766" width="6.85546875" style="1" customWidth="1"/>
    <col min="767" max="767" width="11.140625" style="1" customWidth="1"/>
    <col min="768" max="768" width="8.42578125" style="1" bestFit="1" customWidth="1"/>
    <col min="769" max="769" width="12.5703125" style="1" customWidth="1"/>
    <col min="770" max="770" width="9.85546875" style="1" bestFit="1" customWidth="1"/>
    <col min="771" max="771" width="12.5703125" style="1" customWidth="1"/>
    <col min="772" max="772" width="11.42578125" style="1" bestFit="1" customWidth="1"/>
    <col min="773" max="773" width="8.42578125" style="1" bestFit="1" customWidth="1"/>
    <col min="774" max="774" width="12.5703125" style="1" customWidth="1"/>
    <col min="775" max="775" width="8.42578125" style="1" bestFit="1" customWidth="1"/>
    <col min="776" max="776" width="12.5703125" style="1" customWidth="1"/>
    <col min="777" max="779" width="12.140625" style="1" customWidth="1"/>
    <col min="780" max="1021" width="9.140625" style="1"/>
    <col min="1022" max="1022" width="6.85546875" style="1" customWidth="1"/>
    <col min="1023" max="1023" width="11.140625" style="1" customWidth="1"/>
    <col min="1024" max="1024" width="8.42578125" style="1" bestFit="1" customWidth="1"/>
    <col min="1025" max="1025" width="12.5703125" style="1" customWidth="1"/>
    <col min="1026" max="1026" width="9.85546875" style="1" bestFit="1" customWidth="1"/>
    <col min="1027" max="1027" width="12.5703125" style="1" customWidth="1"/>
    <col min="1028" max="1028" width="11.42578125" style="1" bestFit="1" customWidth="1"/>
    <col min="1029" max="1029" width="8.42578125" style="1" bestFit="1" customWidth="1"/>
    <col min="1030" max="1030" width="12.5703125" style="1" customWidth="1"/>
    <col min="1031" max="1031" width="8.42578125" style="1" bestFit="1" customWidth="1"/>
    <col min="1032" max="1032" width="12.5703125" style="1" customWidth="1"/>
    <col min="1033" max="1035" width="12.140625" style="1" customWidth="1"/>
    <col min="1036" max="1277" width="9.140625" style="1"/>
    <col min="1278" max="1278" width="6.85546875" style="1" customWidth="1"/>
    <col min="1279" max="1279" width="11.140625" style="1" customWidth="1"/>
    <col min="1280" max="1280" width="8.42578125" style="1" bestFit="1" customWidth="1"/>
    <col min="1281" max="1281" width="12.5703125" style="1" customWidth="1"/>
    <col min="1282" max="1282" width="9.85546875" style="1" bestFit="1" customWidth="1"/>
    <col min="1283" max="1283" width="12.5703125" style="1" customWidth="1"/>
    <col min="1284" max="1284" width="11.42578125" style="1" bestFit="1" customWidth="1"/>
    <col min="1285" max="1285" width="8.42578125" style="1" bestFit="1" customWidth="1"/>
    <col min="1286" max="1286" width="12.5703125" style="1" customWidth="1"/>
    <col min="1287" max="1287" width="8.42578125" style="1" bestFit="1" customWidth="1"/>
    <col min="1288" max="1288" width="12.5703125" style="1" customWidth="1"/>
    <col min="1289" max="1291" width="12.140625" style="1" customWidth="1"/>
    <col min="1292" max="1533" width="9.140625" style="1"/>
    <col min="1534" max="1534" width="6.85546875" style="1" customWidth="1"/>
    <col min="1535" max="1535" width="11.140625" style="1" customWidth="1"/>
    <col min="1536" max="1536" width="8.42578125" style="1" bestFit="1" customWidth="1"/>
    <col min="1537" max="1537" width="12.5703125" style="1" customWidth="1"/>
    <col min="1538" max="1538" width="9.85546875" style="1" bestFit="1" customWidth="1"/>
    <col min="1539" max="1539" width="12.5703125" style="1" customWidth="1"/>
    <col min="1540" max="1540" width="11.42578125" style="1" bestFit="1" customWidth="1"/>
    <col min="1541" max="1541" width="8.42578125" style="1" bestFit="1" customWidth="1"/>
    <col min="1542" max="1542" width="12.5703125" style="1" customWidth="1"/>
    <col min="1543" max="1543" width="8.42578125" style="1" bestFit="1" customWidth="1"/>
    <col min="1544" max="1544" width="12.5703125" style="1" customWidth="1"/>
    <col min="1545" max="1547" width="12.140625" style="1" customWidth="1"/>
    <col min="1548" max="1789" width="9.140625" style="1"/>
    <col min="1790" max="1790" width="6.85546875" style="1" customWidth="1"/>
    <col min="1791" max="1791" width="11.140625" style="1" customWidth="1"/>
    <col min="1792" max="1792" width="8.42578125" style="1" bestFit="1" customWidth="1"/>
    <col min="1793" max="1793" width="12.5703125" style="1" customWidth="1"/>
    <col min="1794" max="1794" width="9.85546875" style="1" bestFit="1" customWidth="1"/>
    <col min="1795" max="1795" width="12.5703125" style="1" customWidth="1"/>
    <col min="1796" max="1796" width="11.42578125" style="1" bestFit="1" customWidth="1"/>
    <col min="1797" max="1797" width="8.42578125" style="1" bestFit="1" customWidth="1"/>
    <col min="1798" max="1798" width="12.5703125" style="1" customWidth="1"/>
    <col min="1799" max="1799" width="8.42578125" style="1" bestFit="1" customWidth="1"/>
    <col min="1800" max="1800" width="12.5703125" style="1" customWidth="1"/>
    <col min="1801" max="1803" width="12.140625" style="1" customWidth="1"/>
    <col min="1804" max="2045" width="9.140625" style="1"/>
    <col min="2046" max="2046" width="6.85546875" style="1" customWidth="1"/>
    <col min="2047" max="2047" width="11.140625" style="1" customWidth="1"/>
    <col min="2048" max="2048" width="8.42578125" style="1" bestFit="1" customWidth="1"/>
    <col min="2049" max="2049" width="12.5703125" style="1" customWidth="1"/>
    <col min="2050" max="2050" width="9.85546875" style="1" bestFit="1" customWidth="1"/>
    <col min="2051" max="2051" width="12.5703125" style="1" customWidth="1"/>
    <col min="2052" max="2052" width="11.42578125" style="1" bestFit="1" customWidth="1"/>
    <col min="2053" max="2053" width="8.42578125" style="1" bestFit="1" customWidth="1"/>
    <col min="2054" max="2054" width="12.5703125" style="1" customWidth="1"/>
    <col min="2055" max="2055" width="8.42578125" style="1" bestFit="1" customWidth="1"/>
    <col min="2056" max="2056" width="12.5703125" style="1" customWidth="1"/>
    <col min="2057" max="2059" width="12.140625" style="1" customWidth="1"/>
    <col min="2060" max="2301" width="9.140625" style="1"/>
    <col min="2302" max="2302" width="6.85546875" style="1" customWidth="1"/>
    <col min="2303" max="2303" width="11.140625" style="1" customWidth="1"/>
    <col min="2304" max="2304" width="8.42578125" style="1" bestFit="1" customWidth="1"/>
    <col min="2305" max="2305" width="12.5703125" style="1" customWidth="1"/>
    <col min="2306" max="2306" width="9.85546875" style="1" bestFit="1" customWidth="1"/>
    <col min="2307" max="2307" width="12.5703125" style="1" customWidth="1"/>
    <col min="2308" max="2308" width="11.42578125" style="1" bestFit="1" customWidth="1"/>
    <col min="2309" max="2309" width="8.42578125" style="1" bestFit="1" customWidth="1"/>
    <col min="2310" max="2310" width="12.5703125" style="1" customWidth="1"/>
    <col min="2311" max="2311" width="8.42578125" style="1" bestFit="1" customWidth="1"/>
    <col min="2312" max="2312" width="12.5703125" style="1" customWidth="1"/>
    <col min="2313" max="2315" width="12.140625" style="1" customWidth="1"/>
    <col min="2316" max="2557" width="9.140625" style="1"/>
    <col min="2558" max="2558" width="6.85546875" style="1" customWidth="1"/>
    <col min="2559" max="2559" width="11.140625" style="1" customWidth="1"/>
    <col min="2560" max="2560" width="8.42578125" style="1" bestFit="1" customWidth="1"/>
    <col min="2561" max="2561" width="12.5703125" style="1" customWidth="1"/>
    <col min="2562" max="2562" width="9.85546875" style="1" bestFit="1" customWidth="1"/>
    <col min="2563" max="2563" width="12.5703125" style="1" customWidth="1"/>
    <col min="2564" max="2564" width="11.42578125" style="1" bestFit="1" customWidth="1"/>
    <col min="2565" max="2565" width="8.42578125" style="1" bestFit="1" customWidth="1"/>
    <col min="2566" max="2566" width="12.5703125" style="1" customWidth="1"/>
    <col min="2567" max="2567" width="8.42578125" style="1" bestFit="1" customWidth="1"/>
    <col min="2568" max="2568" width="12.5703125" style="1" customWidth="1"/>
    <col min="2569" max="2571" width="12.140625" style="1" customWidth="1"/>
    <col min="2572" max="2813" width="9.140625" style="1"/>
    <col min="2814" max="2814" width="6.85546875" style="1" customWidth="1"/>
    <col min="2815" max="2815" width="11.140625" style="1" customWidth="1"/>
    <col min="2816" max="2816" width="8.42578125" style="1" bestFit="1" customWidth="1"/>
    <col min="2817" max="2817" width="12.5703125" style="1" customWidth="1"/>
    <col min="2818" max="2818" width="9.85546875" style="1" bestFit="1" customWidth="1"/>
    <col min="2819" max="2819" width="12.5703125" style="1" customWidth="1"/>
    <col min="2820" max="2820" width="11.42578125" style="1" bestFit="1" customWidth="1"/>
    <col min="2821" max="2821" width="8.42578125" style="1" bestFit="1" customWidth="1"/>
    <col min="2822" max="2822" width="12.5703125" style="1" customWidth="1"/>
    <col min="2823" max="2823" width="8.42578125" style="1" bestFit="1" customWidth="1"/>
    <col min="2824" max="2824" width="12.5703125" style="1" customWidth="1"/>
    <col min="2825" max="2827" width="12.140625" style="1" customWidth="1"/>
    <col min="2828" max="3069" width="9.140625" style="1"/>
    <col min="3070" max="3070" width="6.85546875" style="1" customWidth="1"/>
    <col min="3071" max="3071" width="11.140625" style="1" customWidth="1"/>
    <col min="3072" max="3072" width="8.42578125" style="1" bestFit="1" customWidth="1"/>
    <col min="3073" max="3073" width="12.5703125" style="1" customWidth="1"/>
    <col min="3074" max="3074" width="9.85546875" style="1" bestFit="1" customWidth="1"/>
    <col min="3075" max="3075" width="12.5703125" style="1" customWidth="1"/>
    <col min="3076" max="3076" width="11.42578125" style="1" bestFit="1" customWidth="1"/>
    <col min="3077" max="3077" width="8.42578125" style="1" bestFit="1" customWidth="1"/>
    <col min="3078" max="3078" width="12.5703125" style="1" customWidth="1"/>
    <col min="3079" max="3079" width="8.42578125" style="1" bestFit="1" customWidth="1"/>
    <col min="3080" max="3080" width="12.5703125" style="1" customWidth="1"/>
    <col min="3081" max="3083" width="12.140625" style="1" customWidth="1"/>
    <col min="3084" max="3325" width="9.140625" style="1"/>
    <col min="3326" max="3326" width="6.85546875" style="1" customWidth="1"/>
    <col min="3327" max="3327" width="11.140625" style="1" customWidth="1"/>
    <col min="3328" max="3328" width="8.42578125" style="1" bestFit="1" customWidth="1"/>
    <col min="3329" max="3329" width="12.5703125" style="1" customWidth="1"/>
    <col min="3330" max="3330" width="9.85546875" style="1" bestFit="1" customWidth="1"/>
    <col min="3331" max="3331" width="12.5703125" style="1" customWidth="1"/>
    <col min="3332" max="3332" width="11.42578125" style="1" bestFit="1" customWidth="1"/>
    <col min="3333" max="3333" width="8.42578125" style="1" bestFit="1" customWidth="1"/>
    <col min="3334" max="3334" width="12.5703125" style="1" customWidth="1"/>
    <col min="3335" max="3335" width="8.42578125" style="1" bestFit="1" customWidth="1"/>
    <col min="3336" max="3336" width="12.5703125" style="1" customWidth="1"/>
    <col min="3337" max="3339" width="12.140625" style="1" customWidth="1"/>
    <col min="3340" max="3581" width="9.140625" style="1"/>
    <col min="3582" max="3582" width="6.85546875" style="1" customWidth="1"/>
    <col min="3583" max="3583" width="11.140625" style="1" customWidth="1"/>
    <col min="3584" max="3584" width="8.42578125" style="1" bestFit="1" customWidth="1"/>
    <col min="3585" max="3585" width="12.5703125" style="1" customWidth="1"/>
    <col min="3586" max="3586" width="9.85546875" style="1" bestFit="1" customWidth="1"/>
    <col min="3587" max="3587" width="12.5703125" style="1" customWidth="1"/>
    <col min="3588" max="3588" width="11.42578125" style="1" bestFit="1" customWidth="1"/>
    <col min="3589" max="3589" width="8.42578125" style="1" bestFit="1" customWidth="1"/>
    <col min="3590" max="3590" width="12.5703125" style="1" customWidth="1"/>
    <col min="3591" max="3591" width="8.42578125" style="1" bestFit="1" customWidth="1"/>
    <col min="3592" max="3592" width="12.5703125" style="1" customWidth="1"/>
    <col min="3593" max="3595" width="12.140625" style="1" customWidth="1"/>
    <col min="3596" max="3837" width="9.140625" style="1"/>
    <col min="3838" max="3838" width="6.85546875" style="1" customWidth="1"/>
    <col min="3839" max="3839" width="11.140625" style="1" customWidth="1"/>
    <col min="3840" max="3840" width="8.42578125" style="1" bestFit="1" customWidth="1"/>
    <col min="3841" max="3841" width="12.5703125" style="1" customWidth="1"/>
    <col min="3842" max="3842" width="9.85546875" style="1" bestFit="1" customWidth="1"/>
    <col min="3843" max="3843" width="12.5703125" style="1" customWidth="1"/>
    <col min="3844" max="3844" width="11.42578125" style="1" bestFit="1" customWidth="1"/>
    <col min="3845" max="3845" width="8.42578125" style="1" bestFit="1" customWidth="1"/>
    <col min="3846" max="3846" width="12.5703125" style="1" customWidth="1"/>
    <col min="3847" max="3847" width="8.42578125" style="1" bestFit="1" customWidth="1"/>
    <col min="3848" max="3848" width="12.5703125" style="1" customWidth="1"/>
    <col min="3849" max="3851" width="12.140625" style="1" customWidth="1"/>
    <col min="3852" max="4093" width="9.140625" style="1"/>
    <col min="4094" max="4094" width="6.85546875" style="1" customWidth="1"/>
    <col min="4095" max="4095" width="11.140625" style="1" customWidth="1"/>
    <col min="4096" max="4096" width="8.42578125" style="1" bestFit="1" customWidth="1"/>
    <col min="4097" max="4097" width="12.5703125" style="1" customWidth="1"/>
    <col min="4098" max="4098" width="9.85546875" style="1" bestFit="1" customWidth="1"/>
    <col min="4099" max="4099" width="12.5703125" style="1" customWidth="1"/>
    <col min="4100" max="4100" width="11.42578125" style="1" bestFit="1" customWidth="1"/>
    <col min="4101" max="4101" width="8.42578125" style="1" bestFit="1" customWidth="1"/>
    <col min="4102" max="4102" width="12.5703125" style="1" customWidth="1"/>
    <col min="4103" max="4103" width="8.42578125" style="1" bestFit="1" customWidth="1"/>
    <col min="4104" max="4104" width="12.5703125" style="1" customWidth="1"/>
    <col min="4105" max="4107" width="12.140625" style="1" customWidth="1"/>
    <col min="4108" max="4349" width="9.140625" style="1"/>
    <col min="4350" max="4350" width="6.85546875" style="1" customWidth="1"/>
    <col min="4351" max="4351" width="11.140625" style="1" customWidth="1"/>
    <col min="4352" max="4352" width="8.42578125" style="1" bestFit="1" customWidth="1"/>
    <col min="4353" max="4353" width="12.5703125" style="1" customWidth="1"/>
    <col min="4354" max="4354" width="9.85546875" style="1" bestFit="1" customWidth="1"/>
    <col min="4355" max="4355" width="12.5703125" style="1" customWidth="1"/>
    <col min="4356" max="4356" width="11.42578125" style="1" bestFit="1" customWidth="1"/>
    <col min="4357" max="4357" width="8.42578125" style="1" bestFit="1" customWidth="1"/>
    <col min="4358" max="4358" width="12.5703125" style="1" customWidth="1"/>
    <col min="4359" max="4359" width="8.42578125" style="1" bestFit="1" customWidth="1"/>
    <col min="4360" max="4360" width="12.5703125" style="1" customWidth="1"/>
    <col min="4361" max="4363" width="12.140625" style="1" customWidth="1"/>
    <col min="4364" max="4605" width="9.140625" style="1"/>
    <col min="4606" max="4606" width="6.85546875" style="1" customWidth="1"/>
    <col min="4607" max="4607" width="11.140625" style="1" customWidth="1"/>
    <col min="4608" max="4608" width="8.42578125" style="1" bestFit="1" customWidth="1"/>
    <col min="4609" max="4609" width="12.5703125" style="1" customWidth="1"/>
    <col min="4610" max="4610" width="9.85546875" style="1" bestFit="1" customWidth="1"/>
    <col min="4611" max="4611" width="12.5703125" style="1" customWidth="1"/>
    <col min="4612" max="4612" width="11.42578125" style="1" bestFit="1" customWidth="1"/>
    <col min="4613" max="4613" width="8.42578125" style="1" bestFit="1" customWidth="1"/>
    <col min="4614" max="4614" width="12.5703125" style="1" customWidth="1"/>
    <col min="4615" max="4615" width="8.42578125" style="1" bestFit="1" customWidth="1"/>
    <col min="4616" max="4616" width="12.5703125" style="1" customWidth="1"/>
    <col min="4617" max="4619" width="12.140625" style="1" customWidth="1"/>
    <col min="4620" max="4861" width="9.140625" style="1"/>
    <col min="4862" max="4862" width="6.85546875" style="1" customWidth="1"/>
    <col min="4863" max="4863" width="11.140625" style="1" customWidth="1"/>
    <col min="4864" max="4864" width="8.42578125" style="1" bestFit="1" customWidth="1"/>
    <col min="4865" max="4865" width="12.5703125" style="1" customWidth="1"/>
    <col min="4866" max="4866" width="9.85546875" style="1" bestFit="1" customWidth="1"/>
    <col min="4867" max="4867" width="12.5703125" style="1" customWidth="1"/>
    <col min="4868" max="4868" width="11.42578125" style="1" bestFit="1" customWidth="1"/>
    <col min="4869" max="4869" width="8.42578125" style="1" bestFit="1" customWidth="1"/>
    <col min="4870" max="4870" width="12.5703125" style="1" customWidth="1"/>
    <col min="4871" max="4871" width="8.42578125" style="1" bestFit="1" customWidth="1"/>
    <col min="4872" max="4872" width="12.5703125" style="1" customWidth="1"/>
    <col min="4873" max="4875" width="12.140625" style="1" customWidth="1"/>
    <col min="4876" max="5117" width="9.140625" style="1"/>
    <col min="5118" max="5118" width="6.85546875" style="1" customWidth="1"/>
    <col min="5119" max="5119" width="11.140625" style="1" customWidth="1"/>
    <col min="5120" max="5120" width="8.42578125" style="1" bestFit="1" customWidth="1"/>
    <col min="5121" max="5121" width="12.5703125" style="1" customWidth="1"/>
    <col min="5122" max="5122" width="9.85546875" style="1" bestFit="1" customWidth="1"/>
    <col min="5123" max="5123" width="12.5703125" style="1" customWidth="1"/>
    <col min="5124" max="5124" width="11.42578125" style="1" bestFit="1" customWidth="1"/>
    <col min="5125" max="5125" width="8.42578125" style="1" bestFit="1" customWidth="1"/>
    <col min="5126" max="5126" width="12.5703125" style="1" customWidth="1"/>
    <col min="5127" max="5127" width="8.42578125" style="1" bestFit="1" customWidth="1"/>
    <col min="5128" max="5128" width="12.5703125" style="1" customWidth="1"/>
    <col min="5129" max="5131" width="12.140625" style="1" customWidth="1"/>
    <col min="5132" max="5373" width="9.140625" style="1"/>
    <col min="5374" max="5374" width="6.85546875" style="1" customWidth="1"/>
    <col min="5375" max="5375" width="11.140625" style="1" customWidth="1"/>
    <col min="5376" max="5376" width="8.42578125" style="1" bestFit="1" customWidth="1"/>
    <col min="5377" max="5377" width="12.5703125" style="1" customWidth="1"/>
    <col min="5378" max="5378" width="9.85546875" style="1" bestFit="1" customWidth="1"/>
    <col min="5379" max="5379" width="12.5703125" style="1" customWidth="1"/>
    <col min="5380" max="5380" width="11.42578125" style="1" bestFit="1" customWidth="1"/>
    <col min="5381" max="5381" width="8.42578125" style="1" bestFit="1" customWidth="1"/>
    <col min="5382" max="5382" width="12.5703125" style="1" customWidth="1"/>
    <col min="5383" max="5383" width="8.42578125" style="1" bestFit="1" customWidth="1"/>
    <col min="5384" max="5384" width="12.5703125" style="1" customWidth="1"/>
    <col min="5385" max="5387" width="12.140625" style="1" customWidth="1"/>
    <col min="5388" max="5629" width="9.140625" style="1"/>
    <col min="5630" max="5630" width="6.85546875" style="1" customWidth="1"/>
    <col min="5631" max="5631" width="11.140625" style="1" customWidth="1"/>
    <col min="5632" max="5632" width="8.42578125" style="1" bestFit="1" customWidth="1"/>
    <col min="5633" max="5633" width="12.5703125" style="1" customWidth="1"/>
    <col min="5634" max="5634" width="9.85546875" style="1" bestFit="1" customWidth="1"/>
    <col min="5635" max="5635" width="12.5703125" style="1" customWidth="1"/>
    <col min="5636" max="5636" width="11.42578125" style="1" bestFit="1" customWidth="1"/>
    <col min="5637" max="5637" width="8.42578125" style="1" bestFit="1" customWidth="1"/>
    <col min="5638" max="5638" width="12.5703125" style="1" customWidth="1"/>
    <col min="5639" max="5639" width="8.42578125" style="1" bestFit="1" customWidth="1"/>
    <col min="5640" max="5640" width="12.5703125" style="1" customWidth="1"/>
    <col min="5641" max="5643" width="12.140625" style="1" customWidth="1"/>
    <col min="5644" max="5885" width="9.140625" style="1"/>
    <col min="5886" max="5886" width="6.85546875" style="1" customWidth="1"/>
    <col min="5887" max="5887" width="11.140625" style="1" customWidth="1"/>
    <col min="5888" max="5888" width="8.42578125" style="1" bestFit="1" customWidth="1"/>
    <col min="5889" max="5889" width="12.5703125" style="1" customWidth="1"/>
    <col min="5890" max="5890" width="9.85546875" style="1" bestFit="1" customWidth="1"/>
    <col min="5891" max="5891" width="12.5703125" style="1" customWidth="1"/>
    <col min="5892" max="5892" width="11.42578125" style="1" bestFit="1" customWidth="1"/>
    <col min="5893" max="5893" width="8.42578125" style="1" bestFit="1" customWidth="1"/>
    <col min="5894" max="5894" width="12.5703125" style="1" customWidth="1"/>
    <col min="5895" max="5895" width="8.42578125" style="1" bestFit="1" customWidth="1"/>
    <col min="5896" max="5896" width="12.5703125" style="1" customWidth="1"/>
    <col min="5897" max="5899" width="12.140625" style="1" customWidth="1"/>
    <col min="5900" max="6141" width="9.140625" style="1"/>
    <col min="6142" max="6142" width="6.85546875" style="1" customWidth="1"/>
    <col min="6143" max="6143" width="11.140625" style="1" customWidth="1"/>
    <col min="6144" max="6144" width="8.42578125" style="1" bestFit="1" customWidth="1"/>
    <col min="6145" max="6145" width="12.5703125" style="1" customWidth="1"/>
    <col min="6146" max="6146" width="9.85546875" style="1" bestFit="1" customWidth="1"/>
    <col min="6147" max="6147" width="12.5703125" style="1" customWidth="1"/>
    <col min="6148" max="6148" width="11.42578125" style="1" bestFit="1" customWidth="1"/>
    <col min="6149" max="6149" width="8.42578125" style="1" bestFit="1" customWidth="1"/>
    <col min="6150" max="6150" width="12.5703125" style="1" customWidth="1"/>
    <col min="6151" max="6151" width="8.42578125" style="1" bestFit="1" customWidth="1"/>
    <col min="6152" max="6152" width="12.5703125" style="1" customWidth="1"/>
    <col min="6153" max="6155" width="12.140625" style="1" customWidth="1"/>
    <col min="6156" max="6397" width="9.140625" style="1"/>
    <col min="6398" max="6398" width="6.85546875" style="1" customWidth="1"/>
    <col min="6399" max="6399" width="11.140625" style="1" customWidth="1"/>
    <col min="6400" max="6400" width="8.42578125" style="1" bestFit="1" customWidth="1"/>
    <col min="6401" max="6401" width="12.5703125" style="1" customWidth="1"/>
    <col min="6402" max="6402" width="9.85546875" style="1" bestFit="1" customWidth="1"/>
    <col min="6403" max="6403" width="12.5703125" style="1" customWidth="1"/>
    <col min="6404" max="6404" width="11.42578125" style="1" bestFit="1" customWidth="1"/>
    <col min="6405" max="6405" width="8.42578125" style="1" bestFit="1" customWidth="1"/>
    <col min="6406" max="6406" width="12.5703125" style="1" customWidth="1"/>
    <col min="6407" max="6407" width="8.42578125" style="1" bestFit="1" customWidth="1"/>
    <col min="6408" max="6408" width="12.5703125" style="1" customWidth="1"/>
    <col min="6409" max="6411" width="12.140625" style="1" customWidth="1"/>
    <col min="6412" max="6653" width="9.140625" style="1"/>
    <col min="6654" max="6654" width="6.85546875" style="1" customWidth="1"/>
    <col min="6655" max="6655" width="11.140625" style="1" customWidth="1"/>
    <col min="6656" max="6656" width="8.42578125" style="1" bestFit="1" customWidth="1"/>
    <col min="6657" max="6657" width="12.5703125" style="1" customWidth="1"/>
    <col min="6658" max="6658" width="9.85546875" style="1" bestFit="1" customWidth="1"/>
    <col min="6659" max="6659" width="12.5703125" style="1" customWidth="1"/>
    <col min="6660" max="6660" width="11.42578125" style="1" bestFit="1" customWidth="1"/>
    <col min="6661" max="6661" width="8.42578125" style="1" bestFit="1" customWidth="1"/>
    <col min="6662" max="6662" width="12.5703125" style="1" customWidth="1"/>
    <col min="6663" max="6663" width="8.42578125" style="1" bestFit="1" customWidth="1"/>
    <col min="6664" max="6664" width="12.5703125" style="1" customWidth="1"/>
    <col min="6665" max="6667" width="12.140625" style="1" customWidth="1"/>
    <col min="6668" max="6909" width="9.140625" style="1"/>
    <col min="6910" max="6910" width="6.85546875" style="1" customWidth="1"/>
    <col min="6911" max="6911" width="11.140625" style="1" customWidth="1"/>
    <col min="6912" max="6912" width="8.42578125" style="1" bestFit="1" customWidth="1"/>
    <col min="6913" max="6913" width="12.5703125" style="1" customWidth="1"/>
    <col min="6914" max="6914" width="9.85546875" style="1" bestFit="1" customWidth="1"/>
    <col min="6915" max="6915" width="12.5703125" style="1" customWidth="1"/>
    <col min="6916" max="6916" width="11.42578125" style="1" bestFit="1" customWidth="1"/>
    <col min="6917" max="6917" width="8.42578125" style="1" bestFit="1" customWidth="1"/>
    <col min="6918" max="6918" width="12.5703125" style="1" customWidth="1"/>
    <col min="6919" max="6919" width="8.42578125" style="1" bestFit="1" customWidth="1"/>
    <col min="6920" max="6920" width="12.5703125" style="1" customWidth="1"/>
    <col min="6921" max="6923" width="12.140625" style="1" customWidth="1"/>
    <col min="6924" max="7165" width="9.140625" style="1"/>
    <col min="7166" max="7166" width="6.85546875" style="1" customWidth="1"/>
    <col min="7167" max="7167" width="11.140625" style="1" customWidth="1"/>
    <col min="7168" max="7168" width="8.42578125" style="1" bestFit="1" customWidth="1"/>
    <col min="7169" max="7169" width="12.5703125" style="1" customWidth="1"/>
    <col min="7170" max="7170" width="9.85546875" style="1" bestFit="1" customWidth="1"/>
    <col min="7171" max="7171" width="12.5703125" style="1" customWidth="1"/>
    <col min="7172" max="7172" width="11.42578125" style="1" bestFit="1" customWidth="1"/>
    <col min="7173" max="7173" width="8.42578125" style="1" bestFit="1" customWidth="1"/>
    <col min="7174" max="7174" width="12.5703125" style="1" customWidth="1"/>
    <col min="7175" max="7175" width="8.42578125" style="1" bestFit="1" customWidth="1"/>
    <col min="7176" max="7176" width="12.5703125" style="1" customWidth="1"/>
    <col min="7177" max="7179" width="12.140625" style="1" customWidth="1"/>
    <col min="7180" max="7421" width="9.140625" style="1"/>
    <col min="7422" max="7422" width="6.85546875" style="1" customWidth="1"/>
    <col min="7423" max="7423" width="11.140625" style="1" customWidth="1"/>
    <col min="7424" max="7424" width="8.42578125" style="1" bestFit="1" customWidth="1"/>
    <col min="7425" max="7425" width="12.5703125" style="1" customWidth="1"/>
    <col min="7426" max="7426" width="9.85546875" style="1" bestFit="1" customWidth="1"/>
    <col min="7427" max="7427" width="12.5703125" style="1" customWidth="1"/>
    <col min="7428" max="7428" width="11.42578125" style="1" bestFit="1" customWidth="1"/>
    <col min="7429" max="7429" width="8.42578125" style="1" bestFit="1" customWidth="1"/>
    <col min="7430" max="7430" width="12.5703125" style="1" customWidth="1"/>
    <col min="7431" max="7431" width="8.42578125" style="1" bestFit="1" customWidth="1"/>
    <col min="7432" max="7432" width="12.5703125" style="1" customWidth="1"/>
    <col min="7433" max="7435" width="12.140625" style="1" customWidth="1"/>
    <col min="7436" max="7677" width="9.140625" style="1"/>
    <col min="7678" max="7678" width="6.85546875" style="1" customWidth="1"/>
    <col min="7679" max="7679" width="11.140625" style="1" customWidth="1"/>
    <col min="7680" max="7680" width="8.42578125" style="1" bestFit="1" customWidth="1"/>
    <col min="7681" max="7681" width="12.5703125" style="1" customWidth="1"/>
    <col min="7682" max="7682" width="9.85546875" style="1" bestFit="1" customWidth="1"/>
    <col min="7683" max="7683" width="12.5703125" style="1" customWidth="1"/>
    <col min="7684" max="7684" width="11.42578125" style="1" bestFit="1" customWidth="1"/>
    <col min="7685" max="7685" width="8.42578125" style="1" bestFit="1" customWidth="1"/>
    <col min="7686" max="7686" width="12.5703125" style="1" customWidth="1"/>
    <col min="7687" max="7687" width="8.42578125" style="1" bestFit="1" customWidth="1"/>
    <col min="7688" max="7688" width="12.5703125" style="1" customWidth="1"/>
    <col min="7689" max="7691" width="12.140625" style="1" customWidth="1"/>
    <col min="7692" max="7933" width="9.140625" style="1"/>
    <col min="7934" max="7934" width="6.85546875" style="1" customWidth="1"/>
    <col min="7935" max="7935" width="11.140625" style="1" customWidth="1"/>
    <col min="7936" max="7936" width="8.42578125" style="1" bestFit="1" customWidth="1"/>
    <col min="7937" max="7937" width="12.5703125" style="1" customWidth="1"/>
    <col min="7938" max="7938" width="9.85546875" style="1" bestFit="1" customWidth="1"/>
    <col min="7939" max="7939" width="12.5703125" style="1" customWidth="1"/>
    <col min="7940" max="7940" width="11.42578125" style="1" bestFit="1" customWidth="1"/>
    <col min="7941" max="7941" width="8.42578125" style="1" bestFit="1" customWidth="1"/>
    <col min="7942" max="7942" width="12.5703125" style="1" customWidth="1"/>
    <col min="7943" max="7943" width="8.42578125" style="1" bestFit="1" customWidth="1"/>
    <col min="7944" max="7944" width="12.5703125" style="1" customWidth="1"/>
    <col min="7945" max="7947" width="12.140625" style="1" customWidth="1"/>
    <col min="7948" max="8189" width="9.140625" style="1"/>
    <col min="8190" max="8190" width="6.85546875" style="1" customWidth="1"/>
    <col min="8191" max="8191" width="11.140625" style="1" customWidth="1"/>
    <col min="8192" max="8192" width="8.42578125" style="1" bestFit="1" customWidth="1"/>
    <col min="8193" max="8193" width="12.5703125" style="1" customWidth="1"/>
    <col min="8194" max="8194" width="9.85546875" style="1" bestFit="1" customWidth="1"/>
    <col min="8195" max="8195" width="12.5703125" style="1" customWidth="1"/>
    <col min="8196" max="8196" width="11.42578125" style="1" bestFit="1" customWidth="1"/>
    <col min="8197" max="8197" width="8.42578125" style="1" bestFit="1" customWidth="1"/>
    <col min="8198" max="8198" width="12.5703125" style="1" customWidth="1"/>
    <col min="8199" max="8199" width="8.42578125" style="1" bestFit="1" customWidth="1"/>
    <col min="8200" max="8200" width="12.5703125" style="1" customWidth="1"/>
    <col min="8201" max="8203" width="12.140625" style="1" customWidth="1"/>
    <col min="8204" max="8445" width="9.140625" style="1"/>
    <col min="8446" max="8446" width="6.85546875" style="1" customWidth="1"/>
    <col min="8447" max="8447" width="11.140625" style="1" customWidth="1"/>
    <col min="8448" max="8448" width="8.42578125" style="1" bestFit="1" customWidth="1"/>
    <col min="8449" max="8449" width="12.5703125" style="1" customWidth="1"/>
    <col min="8450" max="8450" width="9.85546875" style="1" bestFit="1" customWidth="1"/>
    <col min="8451" max="8451" width="12.5703125" style="1" customWidth="1"/>
    <col min="8452" max="8452" width="11.42578125" style="1" bestFit="1" customWidth="1"/>
    <col min="8453" max="8453" width="8.42578125" style="1" bestFit="1" customWidth="1"/>
    <col min="8454" max="8454" width="12.5703125" style="1" customWidth="1"/>
    <col min="8455" max="8455" width="8.42578125" style="1" bestFit="1" customWidth="1"/>
    <col min="8456" max="8456" width="12.5703125" style="1" customWidth="1"/>
    <col min="8457" max="8459" width="12.140625" style="1" customWidth="1"/>
    <col min="8460" max="8701" width="9.140625" style="1"/>
    <col min="8702" max="8702" width="6.85546875" style="1" customWidth="1"/>
    <col min="8703" max="8703" width="11.140625" style="1" customWidth="1"/>
    <col min="8704" max="8704" width="8.42578125" style="1" bestFit="1" customWidth="1"/>
    <col min="8705" max="8705" width="12.5703125" style="1" customWidth="1"/>
    <col min="8706" max="8706" width="9.85546875" style="1" bestFit="1" customWidth="1"/>
    <col min="8707" max="8707" width="12.5703125" style="1" customWidth="1"/>
    <col min="8708" max="8708" width="11.42578125" style="1" bestFit="1" customWidth="1"/>
    <col min="8709" max="8709" width="8.42578125" style="1" bestFit="1" customWidth="1"/>
    <col min="8710" max="8710" width="12.5703125" style="1" customWidth="1"/>
    <col min="8711" max="8711" width="8.42578125" style="1" bestFit="1" customWidth="1"/>
    <col min="8712" max="8712" width="12.5703125" style="1" customWidth="1"/>
    <col min="8713" max="8715" width="12.140625" style="1" customWidth="1"/>
    <col min="8716" max="8957" width="9.140625" style="1"/>
    <col min="8958" max="8958" width="6.85546875" style="1" customWidth="1"/>
    <col min="8959" max="8959" width="11.140625" style="1" customWidth="1"/>
    <col min="8960" max="8960" width="8.42578125" style="1" bestFit="1" customWidth="1"/>
    <col min="8961" max="8961" width="12.5703125" style="1" customWidth="1"/>
    <col min="8962" max="8962" width="9.85546875" style="1" bestFit="1" customWidth="1"/>
    <col min="8963" max="8963" width="12.5703125" style="1" customWidth="1"/>
    <col min="8964" max="8964" width="11.42578125" style="1" bestFit="1" customWidth="1"/>
    <col min="8965" max="8965" width="8.42578125" style="1" bestFit="1" customWidth="1"/>
    <col min="8966" max="8966" width="12.5703125" style="1" customWidth="1"/>
    <col min="8967" max="8967" width="8.42578125" style="1" bestFit="1" customWidth="1"/>
    <col min="8968" max="8968" width="12.5703125" style="1" customWidth="1"/>
    <col min="8969" max="8971" width="12.140625" style="1" customWidth="1"/>
    <col min="8972" max="9213" width="9.140625" style="1"/>
    <col min="9214" max="9214" width="6.85546875" style="1" customWidth="1"/>
    <col min="9215" max="9215" width="11.140625" style="1" customWidth="1"/>
    <col min="9216" max="9216" width="8.42578125" style="1" bestFit="1" customWidth="1"/>
    <col min="9217" max="9217" width="12.5703125" style="1" customWidth="1"/>
    <col min="9218" max="9218" width="9.85546875" style="1" bestFit="1" customWidth="1"/>
    <col min="9219" max="9219" width="12.5703125" style="1" customWidth="1"/>
    <col min="9220" max="9220" width="11.42578125" style="1" bestFit="1" customWidth="1"/>
    <col min="9221" max="9221" width="8.42578125" style="1" bestFit="1" customWidth="1"/>
    <col min="9222" max="9222" width="12.5703125" style="1" customWidth="1"/>
    <col min="9223" max="9223" width="8.42578125" style="1" bestFit="1" customWidth="1"/>
    <col min="9224" max="9224" width="12.5703125" style="1" customWidth="1"/>
    <col min="9225" max="9227" width="12.140625" style="1" customWidth="1"/>
    <col min="9228" max="9469" width="9.140625" style="1"/>
    <col min="9470" max="9470" width="6.85546875" style="1" customWidth="1"/>
    <col min="9471" max="9471" width="11.140625" style="1" customWidth="1"/>
    <col min="9472" max="9472" width="8.42578125" style="1" bestFit="1" customWidth="1"/>
    <col min="9473" max="9473" width="12.5703125" style="1" customWidth="1"/>
    <col min="9474" max="9474" width="9.85546875" style="1" bestFit="1" customWidth="1"/>
    <col min="9475" max="9475" width="12.5703125" style="1" customWidth="1"/>
    <col min="9476" max="9476" width="11.42578125" style="1" bestFit="1" customWidth="1"/>
    <col min="9477" max="9477" width="8.42578125" style="1" bestFit="1" customWidth="1"/>
    <col min="9478" max="9478" width="12.5703125" style="1" customWidth="1"/>
    <col min="9479" max="9479" width="8.42578125" style="1" bestFit="1" customWidth="1"/>
    <col min="9480" max="9480" width="12.5703125" style="1" customWidth="1"/>
    <col min="9481" max="9483" width="12.140625" style="1" customWidth="1"/>
    <col min="9484" max="9725" width="9.140625" style="1"/>
    <col min="9726" max="9726" width="6.85546875" style="1" customWidth="1"/>
    <col min="9727" max="9727" width="11.140625" style="1" customWidth="1"/>
    <col min="9728" max="9728" width="8.42578125" style="1" bestFit="1" customWidth="1"/>
    <col min="9729" max="9729" width="12.5703125" style="1" customWidth="1"/>
    <col min="9730" max="9730" width="9.85546875" style="1" bestFit="1" customWidth="1"/>
    <col min="9731" max="9731" width="12.5703125" style="1" customWidth="1"/>
    <col min="9732" max="9732" width="11.42578125" style="1" bestFit="1" customWidth="1"/>
    <col min="9733" max="9733" width="8.42578125" style="1" bestFit="1" customWidth="1"/>
    <col min="9734" max="9734" width="12.5703125" style="1" customWidth="1"/>
    <col min="9735" max="9735" width="8.42578125" style="1" bestFit="1" customWidth="1"/>
    <col min="9736" max="9736" width="12.5703125" style="1" customWidth="1"/>
    <col min="9737" max="9739" width="12.140625" style="1" customWidth="1"/>
    <col min="9740" max="9981" width="9.140625" style="1"/>
    <col min="9982" max="9982" width="6.85546875" style="1" customWidth="1"/>
    <col min="9983" max="9983" width="11.140625" style="1" customWidth="1"/>
    <col min="9984" max="9984" width="8.42578125" style="1" bestFit="1" customWidth="1"/>
    <col min="9985" max="9985" width="12.5703125" style="1" customWidth="1"/>
    <col min="9986" max="9986" width="9.85546875" style="1" bestFit="1" customWidth="1"/>
    <col min="9987" max="9987" width="12.5703125" style="1" customWidth="1"/>
    <col min="9988" max="9988" width="11.42578125" style="1" bestFit="1" customWidth="1"/>
    <col min="9989" max="9989" width="8.42578125" style="1" bestFit="1" customWidth="1"/>
    <col min="9990" max="9990" width="12.5703125" style="1" customWidth="1"/>
    <col min="9991" max="9991" width="8.42578125" style="1" bestFit="1" customWidth="1"/>
    <col min="9992" max="9992" width="12.5703125" style="1" customWidth="1"/>
    <col min="9993" max="9995" width="12.140625" style="1" customWidth="1"/>
    <col min="9996" max="10237" width="9.140625" style="1"/>
    <col min="10238" max="10238" width="6.85546875" style="1" customWidth="1"/>
    <col min="10239" max="10239" width="11.140625" style="1" customWidth="1"/>
    <col min="10240" max="10240" width="8.42578125" style="1" bestFit="1" customWidth="1"/>
    <col min="10241" max="10241" width="12.5703125" style="1" customWidth="1"/>
    <col min="10242" max="10242" width="9.85546875" style="1" bestFit="1" customWidth="1"/>
    <col min="10243" max="10243" width="12.5703125" style="1" customWidth="1"/>
    <col min="10244" max="10244" width="11.42578125" style="1" bestFit="1" customWidth="1"/>
    <col min="10245" max="10245" width="8.42578125" style="1" bestFit="1" customWidth="1"/>
    <col min="10246" max="10246" width="12.5703125" style="1" customWidth="1"/>
    <col min="10247" max="10247" width="8.42578125" style="1" bestFit="1" customWidth="1"/>
    <col min="10248" max="10248" width="12.5703125" style="1" customWidth="1"/>
    <col min="10249" max="10251" width="12.140625" style="1" customWidth="1"/>
    <col min="10252" max="10493" width="9.140625" style="1"/>
    <col min="10494" max="10494" width="6.85546875" style="1" customWidth="1"/>
    <col min="10495" max="10495" width="11.140625" style="1" customWidth="1"/>
    <col min="10496" max="10496" width="8.42578125" style="1" bestFit="1" customWidth="1"/>
    <col min="10497" max="10497" width="12.5703125" style="1" customWidth="1"/>
    <col min="10498" max="10498" width="9.85546875" style="1" bestFit="1" customWidth="1"/>
    <col min="10499" max="10499" width="12.5703125" style="1" customWidth="1"/>
    <col min="10500" max="10500" width="11.42578125" style="1" bestFit="1" customWidth="1"/>
    <col min="10501" max="10501" width="8.42578125" style="1" bestFit="1" customWidth="1"/>
    <col min="10502" max="10502" width="12.5703125" style="1" customWidth="1"/>
    <col min="10503" max="10503" width="8.42578125" style="1" bestFit="1" customWidth="1"/>
    <col min="10504" max="10504" width="12.5703125" style="1" customWidth="1"/>
    <col min="10505" max="10507" width="12.140625" style="1" customWidth="1"/>
    <col min="10508" max="10749" width="9.140625" style="1"/>
    <col min="10750" max="10750" width="6.85546875" style="1" customWidth="1"/>
    <col min="10751" max="10751" width="11.140625" style="1" customWidth="1"/>
    <col min="10752" max="10752" width="8.42578125" style="1" bestFit="1" customWidth="1"/>
    <col min="10753" max="10753" width="12.5703125" style="1" customWidth="1"/>
    <col min="10754" max="10754" width="9.85546875" style="1" bestFit="1" customWidth="1"/>
    <col min="10755" max="10755" width="12.5703125" style="1" customWidth="1"/>
    <col min="10756" max="10756" width="11.42578125" style="1" bestFit="1" customWidth="1"/>
    <col min="10757" max="10757" width="8.42578125" style="1" bestFit="1" customWidth="1"/>
    <col min="10758" max="10758" width="12.5703125" style="1" customWidth="1"/>
    <col min="10759" max="10759" width="8.42578125" style="1" bestFit="1" customWidth="1"/>
    <col min="10760" max="10760" width="12.5703125" style="1" customWidth="1"/>
    <col min="10761" max="10763" width="12.140625" style="1" customWidth="1"/>
    <col min="10764" max="11005" width="9.140625" style="1"/>
    <col min="11006" max="11006" width="6.85546875" style="1" customWidth="1"/>
    <col min="11007" max="11007" width="11.140625" style="1" customWidth="1"/>
    <col min="11008" max="11008" width="8.42578125" style="1" bestFit="1" customWidth="1"/>
    <col min="11009" max="11009" width="12.5703125" style="1" customWidth="1"/>
    <col min="11010" max="11010" width="9.85546875" style="1" bestFit="1" customWidth="1"/>
    <col min="11011" max="11011" width="12.5703125" style="1" customWidth="1"/>
    <col min="11012" max="11012" width="11.42578125" style="1" bestFit="1" customWidth="1"/>
    <col min="11013" max="11013" width="8.42578125" style="1" bestFit="1" customWidth="1"/>
    <col min="11014" max="11014" width="12.5703125" style="1" customWidth="1"/>
    <col min="11015" max="11015" width="8.42578125" style="1" bestFit="1" customWidth="1"/>
    <col min="11016" max="11016" width="12.5703125" style="1" customWidth="1"/>
    <col min="11017" max="11019" width="12.140625" style="1" customWidth="1"/>
    <col min="11020" max="11261" width="9.140625" style="1"/>
    <col min="11262" max="11262" width="6.85546875" style="1" customWidth="1"/>
    <col min="11263" max="11263" width="11.140625" style="1" customWidth="1"/>
    <col min="11264" max="11264" width="8.42578125" style="1" bestFit="1" customWidth="1"/>
    <col min="11265" max="11265" width="12.5703125" style="1" customWidth="1"/>
    <col min="11266" max="11266" width="9.85546875" style="1" bestFit="1" customWidth="1"/>
    <col min="11267" max="11267" width="12.5703125" style="1" customWidth="1"/>
    <col min="11268" max="11268" width="11.42578125" style="1" bestFit="1" customWidth="1"/>
    <col min="11269" max="11269" width="8.42578125" style="1" bestFit="1" customWidth="1"/>
    <col min="11270" max="11270" width="12.5703125" style="1" customWidth="1"/>
    <col min="11271" max="11271" width="8.42578125" style="1" bestFit="1" customWidth="1"/>
    <col min="11272" max="11272" width="12.5703125" style="1" customWidth="1"/>
    <col min="11273" max="11275" width="12.140625" style="1" customWidth="1"/>
    <col min="11276" max="11517" width="9.140625" style="1"/>
    <col min="11518" max="11518" width="6.85546875" style="1" customWidth="1"/>
    <col min="11519" max="11519" width="11.140625" style="1" customWidth="1"/>
    <col min="11520" max="11520" width="8.42578125" style="1" bestFit="1" customWidth="1"/>
    <col min="11521" max="11521" width="12.5703125" style="1" customWidth="1"/>
    <col min="11522" max="11522" width="9.85546875" style="1" bestFit="1" customWidth="1"/>
    <col min="11523" max="11523" width="12.5703125" style="1" customWidth="1"/>
    <col min="11524" max="11524" width="11.42578125" style="1" bestFit="1" customWidth="1"/>
    <col min="11525" max="11525" width="8.42578125" style="1" bestFit="1" customWidth="1"/>
    <col min="11526" max="11526" width="12.5703125" style="1" customWidth="1"/>
    <col min="11527" max="11527" width="8.42578125" style="1" bestFit="1" customWidth="1"/>
    <col min="11528" max="11528" width="12.5703125" style="1" customWidth="1"/>
    <col min="11529" max="11531" width="12.140625" style="1" customWidth="1"/>
    <col min="11532" max="11773" width="9.140625" style="1"/>
    <col min="11774" max="11774" width="6.85546875" style="1" customWidth="1"/>
    <col min="11775" max="11775" width="11.140625" style="1" customWidth="1"/>
    <col min="11776" max="11776" width="8.42578125" style="1" bestFit="1" customWidth="1"/>
    <col min="11777" max="11777" width="12.5703125" style="1" customWidth="1"/>
    <col min="11778" max="11778" width="9.85546875" style="1" bestFit="1" customWidth="1"/>
    <col min="11779" max="11779" width="12.5703125" style="1" customWidth="1"/>
    <col min="11780" max="11780" width="11.42578125" style="1" bestFit="1" customWidth="1"/>
    <col min="11781" max="11781" width="8.42578125" style="1" bestFit="1" customWidth="1"/>
    <col min="11782" max="11782" width="12.5703125" style="1" customWidth="1"/>
    <col min="11783" max="11783" width="8.42578125" style="1" bestFit="1" customWidth="1"/>
    <col min="11784" max="11784" width="12.5703125" style="1" customWidth="1"/>
    <col min="11785" max="11787" width="12.140625" style="1" customWidth="1"/>
    <col min="11788" max="12029" width="9.140625" style="1"/>
    <col min="12030" max="12030" width="6.85546875" style="1" customWidth="1"/>
    <col min="12031" max="12031" width="11.140625" style="1" customWidth="1"/>
    <col min="12032" max="12032" width="8.42578125" style="1" bestFit="1" customWidth="1"/>
    <col min="12033" max="12033" width="12.5703125" style="1" customWidth="1"/>
    <col min="12034" max="12034" width="9.85546875" style="1" bestFit="1" customWidth="1"/>
    <col min="12035" max="12035" width="12.5703125" style="1" customWidth="1"/>
    <col min="12036" max="12036" width="11.42578125" style="1" bestFit="1" customWidth="1"/>
    <col min="12037" max="12037" width="8.42578125" style="1" bestFit="1" customWidth="1"/>
    <col min="12038" max="12038" width="12.5703125" style="1" customWidth="1"/>
    <col min="12039" max="12039" width="8.42578125" style="1" bestFit="1" customWidth="1"/>
    <col min="12040" max="12040" width="12.5703125" style="1" customWidth="1"/>
    <col min="12041" max="12043" width="12.140625" style="1" customWidth="1"/>
    <col min="12044" max="12285" width="9.140625" style="1"/>
    <col min="12286" max="12286" width="6.85546875" style="1" customWidth="1"/>
    <col min="12287" max="12287" width="11.140625" style="1" customWidth="1"/>
    <col min="12288" max="12288" width="8.42578125" style="1" bestFit="1" customWidth="1"/>
    <col min="12289" max="12289" width="12.5703125" style="1" customWidth="1"/>
    <col min="12290" max="12290" width="9.85546875" style="1" bestFit="1" customWidth="1"/>
    <col min="12291" max="12291" width="12.5703125" style="1" customWidth="1"/>
    <col min="12292" max="12292" width="11.42578125" style="1" bestFit="1" customWidth="1"/>
    <col min="12293" max="12293" width="8.42578125" style="1" bestFit="1" customWidth="1"/>
    <col min="12294" max="12294" width="12.5703125" style="1" customWidth="1"/>
    <col min="12295" max="12295" width="8.42578125" style="1" bestFit="1" customWidth="1"/>
    <col min="12296" max="12296" width="12.5703125" style="1" customWidth="1"/>
    <col min="12297" max="12299" width="12.140625" style="1" customWidth="1"/>
    <col min="12300" max="12541" width="9.140625" style="1"/>
    <col min="12542" max="12542" width="6.85546875" style="1" customWidth="1"/>
    <col min="12543" max="12543" width="11.140625" style="1" customWidth="1"/>
    <col min="12544" max="12544" width="8.42578125" style="1" bestFit="1" customWidth="1"/>
    <col min="12545" max="12545" width="12.5703125" style="1" customWidth="1"/>
    <col min="12546" max="12546" width="9.85546875" style="1" bestFit="1" customWidth="1"/>
    <col min="12547" max="12547" width="12.5703125" style="1" customWidth="1"/>
    <col min="12548" max="12548" width="11.42578125" style="1" bestFit="1" customWidth="1"/>
    <col min="12549" max="12549" width="8.42578125" style="1" bestFit="1" customWidth="1"/>
    <col min="12550" max="12550" width="12.5703125" style="1" customWidth="1"/>
    <col min="12551" max="12551" width="8.42578125" style="1" bestFit="1" customWidth="1"/>
    <col min="12552" max="12552" width="12.5703125" style="1" customWidth="1"/>
    <col min="12553" max="12555" width="12.140625" style="1" customWidth="1"/>
    <col min="12556" max="12797" width="9.140625" style="1"/>
    <col min="12798" max="12798" width="6.85546875" style="1" customWidth="1"/>
    <col min="12799" max="12799" width="11.140625" style="1" customWidth="1"/>
    <col min="12800" max="12800" width="8.42578125" style="1" bestFit="1" customWidth="1"/>
    <col min="12801" max="12801" width="12.5703125" style="1" customWidth="1"/>
    <col min="12802" max="12802" width="9.85546875" style="1" bestFit="1" customWidth="1"/>
    <col min="12803" max="12803" width="12.5703125" style="1" customWidth="1"/>
    <col min="12804" max="12804" width="11.42578125" style="1" bestFit="1" customWidth="1"/>
    <col min="12805" max="12805" width="8.42578125" style="1" bestFit="1" customWidth="1"/>
    <col min="12806" max="12806" width="12.5703125" style="1" customWidth="1"/>
    <col min="12807" max="12807" width="8.42578125" style="1" bestFit="1" customWidth="1"/>
    <col min="12808" max="12808" width="12.5703125" style="1" customWidth="1"/>
    <col min="12809" max="12811" width="12.140625" style="1" customWidth="1"/>
    <col min="12812" max="13053" width="9.140625" style="1"/>
    <col min="13054" max="13054" width="6.85546875" style="1" customWidth="1"/>
    <col min="13055" max="13055" width="11.140625" style="1" customWidth="1"/>
    <col min="13056" max="13056" width="8.42578125" style="1" bestFit="1" customWidth="1"/>
    <col min="13057" max="13057" width="12.5703125" style="1" customWidth="1"/>
    <col min="13058" max="13058" width="9.85546875" style="1" bestFit="1" customWidth="1"/>
    <col min="13059" max="13059" width="12.5703125" style="1" customWidth="1"/>
    <col min="13060" max="13060" width="11.42578125" style="1" bestFit="1" customWidth="1"/>
    <col min="13061" max="13061" width="8.42578125" style="1" bestFit="1" customWidth="1"/>
    <col min="13062" max="13062" width="12.5703125" style="1" customWidth="1"/>
    <col min="13063" max="13063" width="8.42578125" style="1" bestFit="1" customWidth="1"/>
    <col min="13064" max="13064" width="12.5703125" style="1" customWidth="1"/>
    <col min="13065" max="13067" width="12.140625" style="1" customWidth="1"/>
    <col min="13068" max="13309" width="9.140625" style="1"/>
    <col min="13310" max="13310" width="6.85546875" style="1" customWidth="1"/>
    <col min="13311" max="13311" width="11.140625" style="1" customWidth="1"/>
    <col min="13312" max="13312" width="8.42578125" style="1" bestFit="1" customWidth="1"/>
    <col min="13313" max="13313" width="12.5703125" style="1" customWidth="1"/>
    <col min="13314" max="13314" width="9.85546875" style="1" bestFit="1" customWidth="1"/>
    <col min="13315" max="13315" width="12.5703125" style="1" customWidth="1"/>
    <col min="13316" max="13316" width="11.42578125" style="1" bestFit="1" customWidth="1"/>
    <col min="13317" max="13317" width="8.42578125" style="1" bestFit="1" customWidth="1"/>
    <col min="13318" max="13318" width="12.5703125" style="1" customWidth="1"/>
    <col min="13319" max="13319" width="8.42578125" style="1" bestFit="1" customWidth="1"/>
    <col min="13320" max="13320" width="12.5703125" style="1" customWidth="1"/>
    <col min="13321" max="13323" width="12.140625" style="1" customWidth="1"/>
    <col min="13324" max="13565" width="9.140625" style="1"/>
    <col min="13566" max="13566" width="6.85546875" style="1" customWidth="1"/>
    <col min="13567" max="13567" width="11.140625" style="1" customWidth="1"/>
    <col min="13568" max="13568" width="8.42578125" style="1" bestFit="1" customWidth="1"/>
    <col min="13569" max="13569" width="12.5703125" style="1" customWidth="1"/>
    <col min="13570" max="13570" width="9.85546875" style="1" bestFit="1" customWidth="1"/>
    <col min="13571" max="13571" width="12.5703125" style="1" customWidth="1"/>
    <col min="13572" max="13572" width="11.42578125" style="1" bestFit="1" customWidth="1"/>
    <col min="13573" max="13573" width="8.42578125" style="1" bestFit="1" customWidth="1"/>
    <col min="13574" max="13574" width="12.5703125" style="1" customWidth="1"/>
    <col min="13575" max="13575" width="8.42578125" style="1" bestFit="1" customWidth="1"/>
    <col min="13576" max="13576" width="12.5703125" style="1" customWidth="1"/>
    <col min="13577" max="13579" width="12.140625" style="1" customWidth="1"/>
    <col min="13580" max="13821" width="9.140625" style="1"/>
    <col min="13822" max="13822" width="6.85546875" style="1" customWidth="1"/>
    <col min="13823" max="13823" width="11.140625" style="1" customWidth="1"/>
    <col min="13824" max="13824" width="8.42578125" style="1" bestFit="1" customWidth="1"/>
    <col min="13825" max="13825" width="12.5703125" style="1" customWidth="1"/>
    <col min="13826" max="13826" width="9.85546875" style="1" bestFit="1" customWidth="1"/>
    <col min="13827" max="13827" width="12.5703125" style="1" customWidth="1"/>
    <col min="13828" max="13828" width="11.42578125" style="1" bestFit="1" customWidth="1"/>
    <col min="13829" max="13829" width="8.42578125" style="1" bestFit="1" customWidth="1"/>
    <col min="13830" max="13830" width="12.5703125" style="1" customWidth="1"/>
    <col min="13831" max="13831" width="8.42578125" style="1" bestFit="1" customWidth="1"/>
    <col min="13832" max="13832" width="12.5703125" style="1" customWidth="1"/>
    <col min="13833" max="13835" width="12.140625" style="1" customWidth="1"/>
    <col min="13836" max="14077" width="9.140625" style="1"/>
    <col min="14078" max="14078" width="6.85546875" style="1" customWidth="1"/>
    <col min="14079" max="14079" width="11.140625" style="1" customWidth="1"/>
    <col min="14080" max="14080" width="8.42578125" style="1" bestFit="1" customWidth="1"/>
    <col min="14081" max="14081" width="12.5703125" style="1" customWidth="1"/>
    <col min="14082" max="14082" width="9.85546875" style="1" bestFit="1" customWidth="1"/>
    <col min="14083" max="14083" width="12.5703125" style="1" customWidth="1"/>
    <col min="14084" max="14084" width="11.42578125" style="1" bestFit="1" customWidth="1"/>
    <col min="14085" max="14085" width="8.42578125" style="1" bestFit="1" customWidth="1"/>
    <col min="14086" max="14086" width="12.5703125" style="1" customWidth="1"/>
    <col min="14087" max="14087" width="8.42578125" style="1" bestFit="1" customWidth="1"/>
    <col min="14088" max="14088" width="12.5703125" style="1" customWidth="1"/>
    <col min="14089" max="14091" width="12.140625" style="1" customWidth="1"/>
    <col min="14092" max="14333" width="9.140625" style="1"/>
    <col min="14334" max="14334" width="6.85546875" style="1" customWidth="1"/>
    <col min="14335" max="14335" width="11.140625" style="1" customWidth="1"/>
    <col min="14336" max="14336" width="8.42578125" style="1" bestFit="1" customWidth="1"/>
    <col min="14337" max="14337" width="12.5703125" style="1" customWidth="1"/>
    <col min="14338" max="14338" width="9.85546875" style="1" bestFit="1" customWidth="1"/>
    <col min="14339" max="14339" width="12.5703125" style="1" customWidth="1"/>
    <col min="14340" max="14340" width="11.42578125" style="1" bestFit="1" customWidth="1"/>
    <col min="14341" max="14341" width="8.42578125" style="1" bestFit="1" customWidth="1"/>
    <col min="14342" max="14342" width="12.5703125" style="1" customWidth="1"/>
    <col min="14343" max="14343" width="8.42578125" style="1" bestFit="1" customWidth="1"/>
    <col min="14344" max="14344" width="12.5703125" style="1" customWidth="1"/>
    <col min="14345" max="14347" width="12.140625" style="1" customWidth="1"/>
    <col min="14348" max="14589" width="9.140625" style="1"/>
    <col min="14590" max="14590" width="6.85546875" style="1" customWidth="1"/>
    <col min="14591" max="14591" width="11.140625" style="1" customWidth="1"/>
    <col min="14592" max="14592" width="8.42578125" style="1" bestFit="1" customWidth="1"/>
    <col min="14593" max="14593" width="12.5703125" style="1" customWidth="1"/>
    <col min="14594" max="14594" width="9.85546875" style="1" bestFit="1" customWidth="1"/>
    <col min="14595" max="14595" width="12.5703125" style="1" customWidth="1"/>
    <col min="14596" max="14596" width="11.42578125" style="1" bestFit="1" customWidth="1"/>
    <col min="14597" max="14597" width="8.42578125" style="1" bestFit="1" customWidth="1"/>
    <col min="14598" max="14598" width="12.5703125" style="1" customWidth="1"/>
    <col min="14599" max="14599" width="8.42578125" style="1" bestFit="1" customWidth="1"/>
    <col min="14600" max="14600" width="12.5703125" style="1" customWidth="1"/>
    <col min="14601" max="14603" width="12.140625" style="1" customWidth="1"/>
    <col min="14604" max="14845" width="9.140625" style="1"/>
    <col min="14846" max="14846" width="6.85546875" style="1" customWidth="1"/>
    <col min="14847" max="14847" width="11.140625" style="1" customWidth="1"/>
    <col min="14848" max="14848" width="8.42578125" style="1" bestFit="1" customWidth="1"/>
    <col min="14849" max="14849" width="12.5703125" style="1" customWidth="1"/>
    <col min="14850" max="14850" width="9.85546875" style="1" bestFit="1" customWidth="1"/>
    <col min="14851" max="14851" width="12.5703125" style="1" customWidth="1"/>
    <col min="14852" max="14852" width="11.42578125" style="1" bestFit="1" customWidth="1"/>
    <col min="14853" max="14853" width="8.42578125" style="1" bestFit="1" customWidth="1"/>
    <col min="14854" max="14854" width="12.5703125" style="1" customWidth="1"/>
    <col min="14855" max="14855" width="8.42578125" style="1" bestFit="1" customWidth="1"/>
    <col min="14856" max="14856" width="12.5703125" style="1" customWidth="1"/>
    <col min="14857" max="14859" width="12.140625" style="1" customWidth="1"/>
    <col min="14860" max="15101" width="9.140625" style="1"/>
    <col min="15102" max="15102" width="6.85546875" style="1" customWidth="1"/>
    <col min="15103" max="15103" width="11.140625" style="1" customWidth="1"/>
    <col min="15104" max="15104" width="8.42578125" style="1" bestFit="1" customWidth="1"/>
    <col min="15105" max="15105" width="12.5703125" style="1" customWidth="1"/>
    <col min="15106" max="15106" width="9.85546875" style="1" bestFit="1" customWidth="1"/>
    <col min="15107" max="15107" width="12.5703125" style="1" customWidth="1"/>
    <col min="15108" max="15108" width="11.42578125" style="1" bestFit="1" customWidth="1"/>
    <col min="15109" max="15109" width="8.42578125" style="1" bestFit="1" customWidth="1"/>
    <col min="15110" max="15110" width="12.5703125" style="1" customWidth="1"/>
    <col min="15111" max="15111" width="8.42578125" style="1" bestFit="1" customWidth="1"/>
    <col min="15112" max="15112" width="12.5703125" style="1" customWidth="1"/>
    <col min="15113" max="15115" width="12.140625" style="1" customWidth="1"/>
    <col min="15116" max="15357" width="9.140625" style="1"/>
    <col min="15358" max="15358" width="6.85546875" style="1" customWidth="1"/>
    <col min="15359" max="15359" width="11.140625" style="1" customWidth="1"/>
    <col min="15360" max="15360" width="8.42578125" style="1" bestFit="1" customWidth="1"/>
    <col min="15361" max="15361" width="12.5703125" style="1" customWidth="1"/>
    <col min="15362" max="15362" width="9.85546875" style="1" bestFit="1" customWidth="1"/>
    <col min="15363" max="15363" width="12.5703125" style="1" customWidth="1"/>
    <col min="15364" max="15364" width="11.42578125" style="1" bestFit="1" customWidth="1"/>
    <col min="15365" max="15365" width="8.42578125" style="1" bestFit="1" customWidth="1"/>
    <col min="15366" max="15366" width="12.5703125" style="1" customWidth="1"/>
    <col min="15367" max="15367" width="8.42578125" style="1" bestFit="1" customWidth="1"/>
    <col min="15368" max="15368" width="12.5703125" style="1" customWidth="1"/>
    <col min="15369" max="15371" width="12.140625" style="1" customWidth="1"/>
    <col min="15372" max="15613" width="9.140625" style="1"/>
    <col min="15614" max="15614" width="6.85546875" style="1" customWidth="1"/>
    <col min="15615" max="15615" width="11.140625" style="1" customWidth="1"/>
    <col min="15616" max="15616" width="8.42578125" style="1" bestFit="1" customWidth="1"/>
    <col min="15617" max="15617" width="12.5703125" style="1" customWidth="1"/>
    <col min="15618" max="15618" width="9.85546875" style="1" bestFit="1" customWidth="1"/>
    <col min="15619" max="15619" width="12.5703125" style="1" customWidth="1"/>
    <col min="15620" max="15620" width="11.42578125" style="1" bestFit="1" customWidth="1"/>
    <col min="15621" max="15621" width="8.42578125" style="1" bestFit="1" customWidth="1"/>
    <col min="15622" max="15622" width="12.5703125" style="1" customWidth="1"/>
    <col min="15623" max="15623" width="8.42578125" style="1" bestFit="1" customWidth="1"/>
    <col min="15624" max="15624" width="12.5703125" style="1" customWidth="1"/>
    <col min="15625" max="15627" width="12.140625" style="1" customWidth="1"/>
    <col min="15628" max="15869" width="9.140625" style="1"/>
    <col min="15870" max="15870" width="6.85546875" style="1" customWidth="1"/>
    <col min="15871" max="15871" width="11.140625" style="1" customWidth="1"/>
    <col min="15872" max="15872" width="8.42578125" style="1" bestFit="1" customWidth="1"/>
    <col min="15873" max="15873" width="12.5703125" style="1" customWidth="1"/>
    <col min="15874" max="15874" width="9.85546875" style="1" bestFit="1" customWidth="1"/>
    <col min="15875" max="15875" width="12.5703125" style="1" customWidth="1"/>
    <col min="15876" max="15876" width="11.42578125" style="1" bestFit="1" customWidth="1"/>
    <col min="15877" max="15877" width="8.42578125" style="1" bestFit="1" customWidth="1"/>
    <col min="15878" max="15878" width="12.5703125" style="1" customWidth="1"/>
    <col min="15879" max="15879" width="8.42578125" style="1" bestFit="1" customWidth="1"/>
    <col min="15880" max="15880" width="12.5703125" style="1" customWidth="1"/>
    <col min="15881" max="15883" width="12.140625" style="1" customWidth="1"/>
    <col min="15884" max="16125" width="9.140625" style="1"/>
    <col min="16126" max="16126" width="6.85546875" style="1" customWidth="1"/>
    <col min="16127" max="16127" width="11.140625" style="1" customWidth="1"/>
    <col min="16128" max="16128" width="8.42578125" style="1" bestFit="1" customWidth="1"/>
    <col min="16129" max="16129" width="12.5703125" style="1" customWidth="1"/>
    <col min="16130" max="16130" width="9.85546875" style="1" bestFit="1" customWidth="1"/>
    <col min="16131" max="16131" width="12.5703125" style="1" customWidth="1"/>
    <col min="16132" max="16132" width="11.42578125" style="1" bestFit="1" customWidth="1"/>
    <col min="16133" max="16133" width="8.42578125" style="1" bestFit="1" customWidth="1"/>
    <col min="16134" max="16134" width="12.5703125" style="1" customWidth="1"/>
    <col min="16135" max="16135" width="8.42578125" style="1" bestFit="1" customWidth="1"/>
    <col min="16136" max="16136" width="12.5703125" style="1" customWidth="1"/>
    <col min="16137" max="16139" width="12.140625" style="1" customWidth="1"/>
    <col min="16140" max="16384" width="9.140625" style="1"/>
  </cols>
  <sheetData>
    <row r="1" spans="1:17" ht="15.75" customHeight="1">
      <c r="P1" s="1444" t="s">
        <v>737</v>
      </c>
      <c r="Q1" s="1445"/>
    </row>
    <row r="2" spans="1:17" ht="44.25" customHeight="1">
      <c r="A2" s="1446" t="s">
        <v>1618</v>
      </c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446"/>
      <c r="O2" s="1446"/>
      <c r="P2" s="1446"/>
      <c r="Q2" s="1446"/>
    </row>
    <row r="3" spans="1:17" ht="10.5" customHeight="1">
      <c r="A3" s="1413"/>
      <c r="B3" s="1413"/>
      <c r="C3" s="1413"/>
      <c r="D3" s="1413"/>
      <c r="E3" s="1413"/>
      <c r="F3" s="1413"/>
      <c r="G3" s="1413"/>
      <c r="H3" s="1413"/>
      <c r="I3" s="1413"/>
      <c r="J3" s="1413"/>
      <c r="K3" s="1413"/>
      <c r="L3" s="1413"/>
    </row>
    <row r="4" spans="1:17" s="192" customFormat="1" ht="22.5" customHeight="1">
      <c r="A4" s="1265" t="s">
        <v>732</v>
      </c>
      <c r="B4" s="1265"/>
      <c r="C4" s="1265"/>
      <c r="D4" s="1265"/>
      <c r="E4" s="204" t="s">
        <v>1616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</row>
    <row r="5" spans="1:17" s="192" customFormat="1" ht="21.75" customHeight="1">
      <c r="A5" s="187"/>
      <c r="B5" s="205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190"/>
      <c r="N5" s="190"/>
      <c r="O5" s="190"/>
      <c r="P5" s="1415" t="s">
        <v>874</v>
      </c>
      <c r="Q5" s="1415"/>
    </row>
    <row r="6" spans="1:17" s="194" customFormat="1" ht="24.95" customHeight="1">
      <c r="A6" s="1443" t="s">
        <v>728</v>
      </c>
      <c r="B6" s="1443"/>
      <c r="C6" s="1443"/>
      <c r="D6" s="1443"/>
      <c r="E6" s="1443"/>
      <c r="F6" s="1443"/>
      <c r="G6" s="1443"/>
      <c r="H6" s="1443"/>
      <c r="I6" s="1443"/>
      <c r="J6" s="1443"/>
      <c r="K6" s="1443"/>
      <c r="L6" s="1443"/>
      <c r="M6" s="1443"/>
      <c r="N6" s="1443"/>
      <c r="O6" s="1443"/>
      <c r="P6" s="1443"/>
      <c r="Q6" s="1443"/>
    </row>
    <row r="7" spans="1:17" s="17" customFormat="1" ht="24.95" customHeight="1">
      <c r="A7" s="1454" t="s">
        <v>727</v>
      </c>
      <c r="B7" s="1457" t="s">
        <v>1636</v>
      </c>
      <c r="C7" s="1458"/>
      <c r="D7" s="1458"/>
      <c r="E7" s="1458"/>
      <c r="F7" s="1459"/>
      <c r="G7" s="1457" t="s">
        <v>1637</v>
      </c>
      <c r="H7" s="1458"/>
      <c r="I7" s="1458"/>
      <c r="J7" s="1458"/>
      <c r="K7" s="1458"/>
      <c r="L7" s="1459"/>
      <c r="M7" s="1460" t="s">
        <v>1638</v>
      </c>
      <c r="N7" s="1461"/>
      <c r="O7" s="1461"/>
      <c r="P7" s="1461"/>
      <c r="Q7" s="1462"/>
    </row>
    <row r="8" spans="1:17" s="200" customFormat="1" ht="24.95" customHeight="1">
      <c r="A8" s="1455"/>
      <c r="B8" s="1447" t="s">
        <v>734</v>
      </c>
      <c r="C8" s="1449" t="s">
        <v>132</v>
      </c>
      <c r="D8" s="1449"/>
      <c r="E8" s="1450" t="s">
        <v>133</v>
      </c>
      <c r="F8" s="1451"/>
      <c r="G8" s="1447" t="s">
        <v>734</v>
      </c>
      <c r="H8" s="1449" t="s">
        <v>132</v>
      </c>
      <c r="I8" s="1449"/>
      <c r="J8" s="1449"/>
      <c r="K8" s="1450" t="s">
        <v>133</v>
      </c>
      <c r="L8" s="1451"/>
      <c r="M8" s="1447" t="s">
        <v>734</v>
      </c>
      <c r="N8" s="1449" t="s">
        <v>132</v>
      </c>
      <c r="O8" s="1449"/>
      <c r="P8" s="1450" t="s">
        <v>133</v>
      </c>
      <c r="Q8" s="1451"/>
    </row>
    <row r="9" spans="1:17" s="17" customFormat="1" ht="74.25" customHeight="1">
      <c r="A9" s="1456"/>
      <c r="B9" s="1448"/>
      <c r="C9" s="201" t="s">
        <v>153</v>
      </c>
      <c r="D9" s="830" t="s">
        <v>733</v>
      </c>
      <c r="E9" s="201" t="s">
        <v>153</v>
      </c>
      <c r="F9" s="830" t="s">
        <v>733</v>
      </c>
      <c r="G9" s="1448"/>
      <c r="H9" s="201" t="s">
        <v>153</v>
      </c>
      <c r="I9" s="201"/>
      <c r="J9" s="830" t="s">
        <v>733</v>
      </c>
      <c r="K9" s="201" t="s">
        <v>153</v>
      </c>
      <c r="L9" s="830" t="s">
        <v>733</v>
      </c>
      <c r="M9" s="1448"/>
      <c r="N9" s="201" t="s">
        <v>153</v>
      </c>
      <c r="O9" s="830" t="s">
        <v>733</v>
      </c>
      <c r="P9" s="201" t="s">
        <v>153</v>
      </c>
      <c r="Q9" s="831" t="s">
        <v>733</v>
      </c>
    </row>
    <row r="10" spans="1:17" s="6" customFormat="1" ht="24.95" customHeight="1">
      <c r="A10" s="18">
        <v>22</v>
      </c>
      <c r="B10" s="213">
        <v>1</v>
      </c>
      <c r="C10" s="214">
        <v>1</v>
      </c>
      <c r="D10" s="215">
        <v>7.0949999999999998</v>
      </c>
      <c r="E10" s="214"/>
      <c r="F10" s="216"/>
      <c r="G10" s="213">
        <v>1</v>
      </c>
      <c r="H10" s="214">
        <v>1</v>
      </c>
      <c r="I10" s="1035">
        <v>9.1750000000000007</v>
      </c>
      <c r="J10" s="215">
        <v>9.1750000000000007</v>
      </c>
      <c r="K10" s="214">
        <f>SUM(G10-H10)</f>
        <v>0</v>
      </c>
      <c r="L10" s="220">
        <f>SUM(I10-J10)</f>
        <v>0</v>
      </c>
      <c r="M10" s="217">
        <f>+G10</f>
        <v>1</v>
      </c>
      <c r="N10" s="218">
        <f>+H10</f>
        <v>1</v>
      </c>
      <c r="O10" s="215">
        <v>9.2460000000000004</v>
      </c>
      <c r="P10" s="218">
        <f>+K10</f>
        <v>0</v>
      </c>
      <c r="Q10" s="220">
        <f>+L10</f>
        <v>0</v>
      </c>
    </row>
    <row r="11" spans="1:17" s="6" customFormat="1" ht="24.95" customHeight="1">
      <c r="A11" s="11">
        <v>21</v>
      </c>
      <c r="B11" s="217"/>
      <c r="C11" s="218"/>
      <c r="D11" s="219"/>
      <c r="E11" s="218"/>
      <c r="F11" s="220"/>
      <c r="G11" s="217"/>
      <c r="H11" s="218"/>
      <c r="I11" s="1036"/>
      <c r="J11" s="219"/>
      <c r="K11" s="218"/>
      <c r="L11" s="220"/>
      <c r="M11" s="217"/>
      <c r="N11" s="218"/>
      <c r="O11" s="219"/>
      <c r="P11" s="218"/>
      <c r="Q11" s="220"/>
    </row>
    <row r="12" spans="1:17" s="6" customFormat="1" ht="24.95" customHeight="1">
      <c r="A12" s="11">
        <v>20</v>
      </c>
      <c r="B12" s="217">
        <v>13</v>
      </c>
      <c r="C12" s="218">
        <v>4</v>
      </c>
      <c r="D12" s="219">
        <v>10.01</v>
      </c>
      <c r="E12" s="218">
        <v>9</v>
      </c>
      <c r="F12" s="220"/>
      <c r="G12" s="217">
        <v>12</v>
      </c>
      <c r="H12" s="218">
        <v>5</v>
      </c>
      <c r="I12" s="1036">
        <v>25.22</v>
      </c>
      <c r="J12" s="219">
        <v>13.19</v>
      </c>
      <c r="K12" s="218">
        <f>SUM(G12-H12)</f>
        <v>7</v>
      </c>
      <c r="L12" s="220">
        <f>SUM(I12-J12)</f>
        <v>12.03</v>
      </c>
      <c r="M12" s="217">
        <f t="shared" ref="M12:N15" si="0">+G12</f>
        <v>12</v>
      </c>
      <c r="N12" s="218">
        <f t="shared" si="0"/>
        <v>5</v>
      </c>
      <c r="O12" s="219">
        <v>13.333</v>
      </c>
      <c r="P12" s="218">
        <f>+K12</f>
        <v>7</v>
      </c>
      <c r="Q12" s="220">
        <f>+L12</f>
        <v>12.03</v>
      </c>
    </row>
    <row r="13" spans="1:17" s="6" customFormat="1" ht="24.95" customHeight="1">
      <c r="A13" s="11">
        <v>19</v>
      </c>
      <c r="B13" s="217">
        <v>15</v>
      </c>
      <c r="C13" s="218">
        <v>7</v>
      </c>
      <c r="D13" s="219">
        <v>10.839</v>
      </c>
      <c r="E13" s="218">
        <v>8</v>
      </c>
      <c r="F13" s="220"/>
      <c r="G13" s="217">
        <v>13</v>
      </c>
      <c r="H13" s="218">
        <v>8</v>
      </c>
      <c r="I13" s="1036">
        <v>20.846</v>
      </c>
      <c r="J13" s="219">
        <v>14.214</v>
      </c>
      <c r="K13" s="218">
        <f>SUM(G13-H13)</f>
        <v>5</v>
      </c>
      <c r="L13" s="220">
        <f>SUM(I13-J13)</f>
        <v>6.6319999999999997</v>
      </c>
      <c r="M13" s="217">
        <f t="shared" si="0"/>
        <v>13</v>
      </c>
      <c r="N13" s="218">
        <f t="shared" si="0"/>
        <v>8</v>
      </c>
      <c r="O13" s="219">
        <v>14.102</v>
      </c>
      <c r="P13" s="218">
        <f>+K13</f>
        <v>5</v>
      </c>
      <c r="Q13" s="220">
        <f t="shared" ref="Q13:Q15" si="1">+L13</f>
        <v>6.6319999999999997</v>
      </c>
    </row>
    <row r="14" spans="1:17" s="6" customFormat="1" ht="24.95" customHeight="1">
      <c r="A14" s="11">
        <v>18</v>
      </c>
      <c r="B14" s="217">
        <v>27</v>
      </c>
      <c r="C14" s="218">
        <v>22</v>
      </c>
      <c r="D14" s="219">
        <v>28.295000000000002</v>
      </c>
      <c r="E14" s="218">
        <v>5</v>
      </c>
      <c r="F14" s="220"/>
      <c r="G14" s="217">
        <v>30</v>
      </c>
      <c r="H14" s="218">
        <v>17</v>
      </c>
      <c r="I14" s="1036">
        <v>39.497999999999998</v>
      </c>
      <c r="J14" s="219">
        <v>24.303000000000001</v>
      </c>
      <c r="K14" s="218">
        <f>SUM(G14-H14)</f>
        <v>13</v>
      </c>
      <c r="L14" s="220">
        <f>SUM(I14-J14)</f>
        <v>15.194999999999997</v>
      </c>
      <c r="M14" s="217">
        <f t="shared" si="0"/>
        <v>30</v>
      </c>
      <c r="N14" s="218">
        <f t="shared" si="0"/>
        <v>17</v>
      </c>
      <c r="O14" s="219">
        <v>24.5</v>
      </c>
      <c r="P14" s="218">
        <f>+K14</f>
        <v>13</v>
      </c>
      <c r="Q14" s="220">
        <f t="shared" si="1"/>
        <v>15.194999999999997</v>
      </c>
    </row>
    <row r="15" spans="1:17" s="6" customFormat="1" ht="24.95" customHeight="1">
      <c r="A15" s="209">
        <v>17</v>
      </c>
      <c r="B15" s="221">
        <v>122</v>
      </c>
      <c r="C15" s="222">
        <v>62</v>
      </c>
      <c r="D15" s="223">
        <v>69.271000000000001</v>
      </c>
      <c r="E15" s="222">
        <v>60</v>
      </c>
      <c r="F15" s="224"/>
      <c r="G15" s="221">
        <v>159</v>
      </c>
      <c r="H15" s="222">
        <v>99</v>
      </c>
      <c r="I15" s="1037">
        <v>174.899</v>
      </c>
      <c r="J15" s="223">
        <v>123.31100000000001</v>
      </c>
      <c r="K15" s="218">
        <f>SUM(G15-H15)</f>
        <v>60</v>
      </c>
      <c r="L15" s="220">
        <f>SUM(I15-J15)</f>
        <v>51.587999999999994</v>
      </c>
      <c r="M15" s="217">
        <f t="shared" si="0"/>
        <v>159</v>
      </c>
      <c r="N15" s="218">
        <f t="shared" si="0"/>
        <v>99</v>
      </c>
      <c r="O15" s="223">
        <v>121.07899999999999</v>
      </c>
      <c r="P15" s="218">
        <f>+K15</f>
        <v>60</v>
      </c>
      <c r="Q15" s="220">
        <f t="shared" si="1"/>
        <v>51.587999999999994</v>
      </c>
    </row>
    <row r="16" spans="1:17" s="6" customFormat="1" ht="24.95" customHeight="1">
      <c r="A16" s="210" t="s">
        <v>736</v>
      </c>
      <c r="B16" s="211">
        <f>SUM(B10:B15)</f>
        <v>178</v>
      </c>
      <c r="C16" s="211">
        <f t="shared" ref="C16:L16" si="2">SUM(C10:C15)</f>
        <v>96</v>
      </c>
      <c r="D16" s="212">
        <f>SUM(D10:D15)</f>
        <v>125.51</v>
      </c>
      <c r="E16" s="211">
        <f t="shared" si="2"/>
        <v>82</v>
      </c>
      <c r="F16" s="212">
        <f t="shared" si="2"/>
        <v>0</v>
      </c>
      <c r="G16" s="211">
        <f>SUM(G10:G15)</f>
        <v>215</v>
      </c>
      <c r="H16" s="211">
        <f t="shared" si="2"/>
        <v>130</v>
      </c>
      <c r="I16" s="840">
        <f t="shared" si="2"/>
        <v>269.63800000000003</v>
      </c>
      <c r="J16" s="1038">
        <f t="shared" si="2"/>
        <v>184.19300000000001</v>
      </c>
      <c r="K16" s="211">
        <f t="shared" si="2"/>
        <v>85</v>
      </c>
      <c r="L16" s="1038">
        <f t="shared" si="2"/>
        <v>85.444999999999993</v>
      </c>
      <c r="M16" s="211">
        <f>SUM(M10:M15)</f>
        <v>215</v>
      </c>
      <c r="N16" s="211">
        <f t="shared" ref="N16:Q16" si="3">SUM(N10:N15)</f>
        <v>130</v>
      </c>
      <c r="O16" s="840">
        <f t="shared" si="3"/>
        <v>182.26</v>
      </c>
      <c r="P16" s="211">
        <f t="shared" si="3"/>
        <v>85</v>
      </c>
      <c r="Q16" s="1039">
        <f t="shared" si="3"/>
        <v>85.444999999999993</v>
      </c>
    </row>
    <row r="17" spans="1:17" s="6" customFormat="1" ht="24.95" customHeight="1">
      <c r="A17" s="18">
        <v>16</v>
      </c>
      <c r="B17" s="225">
        <v>347</v>
      </c>
      <c r="C17" s="226">
        <v>252</v>
      </c>
      <c r="D17" s="834">
        <v>393.553</v>
      </c>
      <c r="E17" s="226">
        <v>95</v>
      </c>
      <c r="F17" s="835">
        <v>49.451000000000001</v>
      </c>
      <c r="G17" s="302">
        <v>323</v>
      </c>
      <c r="H17" s="73">
        <v>222</v>
      </c>
      <c r="I17" s="226">
        <v>268.83</v>
      </c>
      <c r="J17" s="834">
        <v>211.417</v>
      </c>
      <c r="K17" s="218">
        <f>SUM(G17-H17)</f>
        <v>101</v>
      </c>
      <c r="L17" s="220">
        <f t="shared" ref="L17:L19" si="4">SUM(I17-J17)</f>
        <v>57.412999999999982</v>
      </c>
      <c r="M17" s="217">
        <f t="shared" ref="M17:N19" si="5">+G17</f>
        <v>323</v>
      </c>
      <c r="N17" s="218">
        <f t="shared" si="5"/>
        <v>222</v>
      </c>
      <c r="O17" s="834">
        <v>206.673</v>
      </c>
      <c r="P17" s="218">
        <f t="shared" ref="P17:Q19" si="6">+K17</f>
        <v>101</v>
      </c>
      <c r="Q17" s="220">
        <f t="shared" si="6"/>
        <v>57.412999999999982</v>
      </c>
    </row>
    <row r="18" spans="1:17" s="6" customFormat="1" ht="24.95" customHeight="1">
      <c r="A18" s="11">
        <v>15</v>
      </c>
      <c r="B18" s="202">
        <v>18</v>
      </c>
      <c r="C18" s="206">
        <v>18</v>
      </c>
      <c r="D18" s="836">
        <v>13.987</v>
      </c>
      <c r="E18" s="206"/>
      <c r="F18" s="837"/>
      <c r="G18" s="302">
        <v>22</v>
      </c>
      <c r="H18" s="73">
        <v>22</v>
      </c>
      <c r="I18" s="206">
        <v>17.321999999999999</v>
      </c>
      <c r="J18" s="836">
        <v>17.321999999999999</v>
      </c>
      <c r="K18" s="218">
        <f>SUM(G18-H18)</f>
        <v>0</v>
      </c>
      <c r="L18" s="220">
        <f t="shared" si="4"/>
        <v>0</v>
      </c>
      <c r="M18" s="217">
        <f t="shared" si="5"/>
        <v>22</v>
      </c>
      <c r="N18" s="218">
        <f t="shared" si="5"/>
        <v>22</v>
      </c>
      <c r="O18" s="836">
        <v>16.559000000000001</v>
      </c>
      <c r="P18" s="218">
        <f t="shared" si="6"/>
        <v>0</v>
      </c>
      <c r="Q18" s="220">
        <f t="shared" si="6"/>
        <v>0</v>
      </c>
    </row>
    <row r="19" spans="1:17" s="6" customFormat="1" ht="24.95" customHeight="1">
      <c r="A19" s="19">
        <v>14</v>
      </c>
      <c r="B19" s="203">
        <v>99</v>
      </c>
      <c r="C19" s="206">
        <v>92</v>
      </c>
      <c r="D19" s="836">
        <v>60.865000000000002</v>
      </c>
      <c r="E19" s="206">
        <v>7</v>
      </c>
      <c r="F19" s="837">
        <v>4.8090000000000002</v>
      </c>
      <c r="G19" s="302">
        <v>89</v>
      </c>
      <c r="H19" s="73">
        <v>76</v>
      </c>
      <c r="I19" s="206">
        <v>62.750999999999998</v>
      </c>
      <c r="J19" s="836">
        <v>57.186999999999998</v>
      </c>
      <c r="K19" s="218">
        <f>SUM(G19-H19)</f>
        <v>13</v>
      </c>
      <c r="L19" s="220">
        <f t="shared" si="4"/>
        <v>5.5640000000000001</v>
      </c>
      <c r="M19" s="217">
        <f t="shared" si="5"/>
        <v>89</v>
      </c>
      <c r="N19" s="218">
        <f t="shared" si="5"/>
        <v>76</v>
      </c>
      <c r="O19" s="836">
        <v>54.561</v>
      </c>
      <c r="P19" s="218">
        <f t="shared" si="6"/>
        <v>13</v>
      </c>
      <c r="Q19" s="220">
        <f t="shared" si="6"/>
        <v>5.5640000000000001</v>
      </c>
    </row>
    <row r="20" spans="1:17" s="6" customFormat="1" ht="24.95" customHeight="1">
      <c r="A20" s="19">
        <v>13</v>
      </c>
      <c r="B20" s="203"/>
      <c r="C20" s="206"/>
      <c r="D20" s="836"/>
      <c r="E20" s="206"/>
      <c r="F20" s="837"/>
      <c r="G20" s="302"/>
      <c r="H20" s="73"/>
      <c r="I20" s="206"/>
      <c r="J20" s="836"/>
      <c r="K20" s="206"/>
      <c r="L20" s="837"/>
      <c r="M20" s="203"/>
      <c r="N20" s="206"/>
      <c r="O20" s="836"/>
      <c r="P20" s="206"/>
      <c r="Q20" s="837"/>
    </row>
    <row r="21" spans="1:17" s="6" customFormat="1" ht="24.95" customHeight="1">
      <c r="A21" s="19">
        <v>12</v>
      </c>
      <c r="B21" s="203">
        <v>55</v>
      </c>
      <c r="C21" s="206">
        <v>55</v>
      </c>
      <c r="D21" s="836">
        <v>33.734999999999999</v>
      </c>
      <c r="E21" s="206"/>
      <c r="F21" s="837"/>
      <c r="G21" s="302">
        <v>42</v>
      </c>
      <c r="H21" s="73">
        <v>34</v>
      </c>
      <c r="I21" s="206">
        <v>29.658000000000001</v>
      </c>
      <c r="J21" s="836">
        <v>23.433</v>
      </c>
      <c r="K21" s="218">
        <f>SUM(G21-H21)</f>
        <v>8</v>
      </c>
      <c r="L21" s="220">
        <f>SUM(I21-J21)</f>
        <v>6.2250000000000014</v>
      </c>
      <c r="M21" s="217">
        <f>+G21</f>
        <v>42</v>
      </c>
      <c r="N21" s="218">
        <f>+H21</f>
        <v>34</v>
      </c>
      <c r="O21" s="836">
        <v>22.664999999999999</v>
      </c>
      <c r="P21" s="218">
        <f t="shared" ref="P21:Q22" si="7">+K21</f>
        <v>8</v>
      </c>
      <c r="Q21" s="220">
        <f t="shared" si="7"/>
        <v>6.2250000000000014</v>
      </c>
    </row>
    <row r="22" spans="1:17" s="6" customFormat="1" ht="24.95" customHeight="1">
      <c r="A22" s="19">
        <v>11</v>
      </c>
      <c r="B22" s="203">
        <v>117</v>
      </c>
      <c r="C22" s="206">
        <v>55</v>
      </c>
      <c r="D22" s="836">
        <v>39.963000000000001</v>
      </c>
      <c r="E22" s="206">
        <v>62</v>
      </c>
      <c r="F22" s="837">
        <v>24.991</v>
      </c>
      <c r="G22" s="302">
        <v>98</v>
      </c>
      <c r="H22" s="73">
        <v>36</v>
      </c>
      <c r="I22" s="206">
        <v>168.143</v>
      </c>
      <c r="J22" s="836">
        <v>21.994</v>
      </c>
      <c r="K22" s="218">
        <f>SUM(G22-H22)</f>
        <v>62</v>
      </c>
      <c r="L22" s="220">
        <f>SUM(I22-J22)</f>
        <v>146.149</v>
      </c>
      <c r="M22" s="217">
        <f>+G22</f>
        <v>98</v>
      </c>
      <c r="N22" s="218">
        <f>+H22</f>
        <v>36</v>
      </c>
      <c r="O22" s="836">
        <v>21.167999999999999</v>
      </c>
      <c r="P22" s="218">
        <f t="shared" si="7"/>
        <v>62</v>
      </c>
      <c r="Q22" s="220">
        <f t="shared" si="7"/>
        <v>146.149</v>
      </c>
    </row>
    <row r="23" spans="1:17" s="6" customFormat="1" ht="24.95" customHeight="1">
      <c r="A23" s="19">
        <v>10</v>
      </c>
      <c r="B23" s="203">
        <v>1</v>
      </c>
      <c r="C23" s="206">
        <v>1</v>
      </c>
      <c r="D23" s="836">
        <v>0.42199999999999999</v>
      </c>
      <c r="E23" s="206"/>
      <c r="F23" s="837"/>
      <c r="G23" s="302"/>
      <c r="H23" s="73"/>
      <c r="I23" s="206"/>
      <c r="J23" s="836"/>
      <c r="K23" s="206"/>
      <c r="L23" s="837"/>
      <c r="M23" s="203"/>
      <c r="N23" s="206"/>
      <c r="O23" s="836"/>
      <c r="P23" s="206"/>
      <c r="Q23" s="837"/>
    </row>
    <row r="24" spans="1:17" s="6" customFormat="1" ht="24.95" customHeight="1">
      <c r="A24" s="19">
        <v>9</v>
      </c>
      <c r="B24" s="203"/>
      <c r="C24" s="206"/>
      <c r="D24" s="836"/>
      <c r="E24" s="206"/>
      <c r="F24" s="837"/>
      <c r="G24" s="302"/>
      <c r="H24" s="73"/>
      <c r="I24" s="206"/>
      <c r="J24" s="836"/>
      <c r="K24" s="206"/>
      <c r="L24" s="837"/>
      <c r="M24" s="203"/>
      <c r="N24" s="206"/>
      <c r="O24" s="836"/>
      <c r="P24" s="206"/>
      <c r="Q24" s="837"/>
    </row>
    <row r="25" spans="1:17" s="6" customFormat="1" ht="24.95" customHeight="1">
      <c r="A25" s="19">
        <v>8</v>
      </c>
      <c r="B25" s="203">
        <v>46</v>
      </c>
      <c r="C25" s="206">
        <v>46</v>
      </c>
      <c r="D25" s="836">
        <v>21.539000000000001</v>
      </c>
      <c r="E25" s="206"/>
      <c r="F25" s="837"/>
      <c r="G25" s="302">
        <v>62</v>
      </c>
      <c r="H25" s="73">
        <v>60</v>
      </c>
      <c r="I25" s="206">
        <v>30.934999999999999</v>
      </c>
      <c r="J25" s="836">
        <v>29.9</v>
      </c>
      <c r="K25" s="218">
        <f>SUM(G25-H25)</f>
        <v>2</v>
      </c>
      <c r="L25" s="220">
        <f t="shared" ref="L25:L27" si="8">SUM(I25-J25)</f>
        <v>1.0350000000000001</v>
      </c>
      <c r="M25" s="217">
        <f t="shared" ref="M25:N27" si="9">+G25</f>
        <v>62</v>
      </c>
      <c r="N25" s="218">
        <f t="shared" si="9"/>
        <v>60</v>
      </c>
      <c r="O25" s="836">
        <v>29.367999999999999</v>
      </c>
      <c r="P25" s="218">
        <f t="shared" ref="P25:Q27" si="10">+K25</f>
        <v>2</v>
      </c>
      <c r="Q25" s="220">
        <f t="shared" si="10"/>
        <v>1.0350000000000001</v>
      </c>
    </row>
    <row r="26" spans="1:17" s="6" customFormat="1" ht="24.95" customHeight="1">
      <c r="A26" s="19">
        <v>7</v>
      </c>
      <c r="B26" s="203">
        <v>262</v>
      </c>
      <c r="C26" s="206">
        <v>219</v>
      </c>
      <c r="D26" s="836">
        <v>105.964</v>
      </c>
      <c r="E26" s="206">
        <v>43</v>
      </c>
      <c r="F26" s="837">
        <v>8.6519999999999992</v>
      </c>
      <c r="G26" s="302">
        <v>307</v>
      </c>
      <c r="H26" s="73">
        <v>232</v>
      </c>
      <c r="I26" s="206">
        <v>157.57499999999999</v>
      </c>
      <c r="J26" s="836">
        <v>125.22499999999999</v>
      </c>
      <c r="K26" s="218">
        <f>SUM(G26-H26)</f>
        <v>75</v>
      </c>
      <c r="L26" s="220">
        <f t="shared" si="8"/>
        <v>32.349999999999994</v>
      </c>
      <c r="M26" s="217">
        <f t="shared" si="9"/>
        <v>307</v>
      </c>
      <c r="N26" s="218">
        <f t="shared" si="9"/>
        <v>232</v>
      </c>
      <c r="O26" s="836">
        <v>123.879</v>
      </c>
      <c r="P26" s="218">
        <f t="shared" si="10"/>
        <v>75</v>
      </c>
      <c r="Q26" s="220">
        <f t="shared" si="10"/>
        <v>32.349999999999994</v>
      </c>
    </row>
    <row r="27" spans="1:17" s="6" customFormat="1" ht="24.95" customHeight="1">
      <c r="A27" s="19">
        <v>6</v>
      </c>
      <c r="B27" s="227">
        <v>160</v>
      </c>
      <c r="C27" s="228">
        <v>160</v>
      </c>
      <c r="D27" s="838">
        <v>72.744</v>
      </c>
      <c r="E27" s="228"/>
      <c r="F27" s="839"/>
      <c r="G27" s="302">
        <v>120</v>
      </c>
      <c r="H27" s="73">
        <v>104</v>
      </c>
      <c r="I27" s="228">
        <v>59.997</v>
      </c>
      <c r="J27" s="838">
        <v>50.05</v>
      </c>
      <c r="K27" s="218">
        <f>SUM(G27-H27)</f>
        <v>16</v>
      </c>
      <c r="L27" s="220">
        <f t="shared" si="8"/>
        <v>9.9470000000000027</v>
      </c>
      <c r="M27" s="217">
        <f t="shared" si="9"/>
        <v>120</v>
      </c>
      <c r="N27" s="218">
        <f t="shared" si="9"/>
        <v>104</v>
      </c>
      <c r="O27" s="838">
        <v>49.914000000000001</v>
      </c>
      <c r="P27" s="218">
        <f t="shared" si="10"/>
        <v>16</v>
      </c>
      <c r="Q27" s="220">
        <f t="shared" si="10"/>
        <v>9.9470000000000027</v>
      </c>
    </row>
    <row r="28" spans="1:17" s="6" customFormat="1" ht="24.95" customHeight="1">
      <c r="A28" s="210" t="s">
        <v>736</v>
      </c>
      <c r="B28" s="211">
        <f>SUM(B17:B27)</f>
        <v>1105</v>
      </c>
      <c r="C28" s="211">
        <f t="shared" ref="C28:Q28" si="11">SUM(C17:C27)</f>
        <v>898</v>
      </c>
      <c r="D28" s="212">
        <f t="shared" si="11"/>
        <v>742.77200000000005</v>
      </c>
      <c r="E28" s="211">
        <f t="shared" si="11"/>
        <v>207</v>
      </c>
      <c r="F28" s="212">
        <f t="shared" si="11"/>
        <v>87.903000000000006</v>
      </c>
      <c r="G28" s="211">
        <f t="shared" si="11"/>
        <v>1063</v>
      </c>
      <c r="H28" s="211">
        <f t="shared" si="11"/>
        <v>786</v>
      </c>
      <c r="I28" s="840">
        <f t="shared" si="11"/>
        <v>795.2109999999999</v>
      </c>
      <c r="J28" s="1038">
        <f t="shared" si="11"/>
        <v>536.52799999999991</v>
      </c>
      <c r="K28" s="211">
        <f t="shared" si="11"/>
        <v>277</v>
      </c>
      <c r="L28" s="832">
        <f t="shared" si="11"/>
        <v>258.68299999999999</v>
      </c>
      <c r="M28" s="211">
        <f t="shared" si="11"/>
        <v>1063</v>
      </c>
      <c r="N28" s="211">
        <f t="shared" si="11"/>
        <v>786</v>
      </c>
      <c r="O28" s="1038">
        <f t="shared" si="11"/>
        <v>524.78700000000003</v>
      </c>
      <c r="P28" s="211">
        <f t="shared" si="11"/>
        <v>277</v>
      </c>
      <c r="Q28" s="840">
        <f t="shared" si="11"/>
        <v>258.68299999999999</v>
      </c>
    </row>
    <row r="29" spans="1:17" s="6" customFormat="1" ht="24.95" customHeight="1">
      <c r="A29" s="19">
        <v>5</v>
      </c>
      <c r="B29" s="438">
        <v>187</v>
      </c>
      <c r="C29" s="226">
        <v>128</v>
      </c>
      <c r="D29" s="834">
        <v>53.969000000000001</v>
      </c>
      <c r="E29" s="226">
        <v>59</v>
      </c>
      <c r="F29" s="835">
        <v>14.4</v>
      </c>
      <c r="G29" s="302">
        <v>216</v>
      </c>
      <c r="H29" s="226">
        <v>148</v>
      </c>
      <c r="I29" s="226">
        <v>81.379000000000005</v>
      </c>
      <c r="J29" s="834">
        <v>60.844000000000001</v>
      </c>
      <c r="K29" s="218">
        <f>SUM(G29-H29)</f>
        <v>68</v>
      </c>
      <c r="L29" s="220">
        <f t="shared" ref="L29:L32" si="12">SUM(I29-J29)</f>
        <v>20.535000000000004</v>
      </c>
      <c r="M29" s="217">
        <f t="shared" ref="M29:N32" si="13">+G29</f>
        <v>216</v>
      </c>
      <c r="N29" s="218">
        <f t="shared" si="13"/>
        <v>148</v>
      </c>
      <c r="O29" s="834">
        <v>60.459000000000003</v>
      </c>
      <c r="P29" s="218">
        <f t="shared" ref="P29:Q32" si="14">+K29</f>
        <v>68</v>
      </c>
      <c r="Q29" s="220">
        <f t="shared" si="14"/>
        <v>20.535000000000004</v>
      </c>
    </row>
    <row r="30" spans="1:17" s="6" customFormat="1" ht="24.95" customHeight="1">
      <c r="A30" s="19">
        <v>4</v>
      </c>
      <c r="B30" s="203">
        <v>513</v>
      </c>
      <c r="C30" s="206">
        <v>511</v>
      </c>
      <c r="D30" s="836">
        <v>170.11600000000001</v>
      </c>
      <c r="E30" s="206">
        <v>7</v>
      </c>
      <c r="F30" s="837">
        <v>2.992</v>
      </c>
      <c r="G30" s="302">
        <v>578</v>
      </c>
      <c r="H30" s="206">
        <v>363</v>
      </c>
      <c r="I30" s="206">
        <v>187.99</v>
      </c>
      <c r="J30" s="836">
        <v>131.22999999999999</v>
      </c>
      <c r="K30" s="218">
        <f>SUM(G30-H30)</f>
        <v>215</v>
      </c>
      <c r="L30" s="220">
        <f t="shared" si="12"/>
        <v>56.760000000000019</v>
      </c>
      <c r="M30" s="217">
        <f t="shared" si="13"/>
        <v>578</v>
      </c>
      <c r="N30" s="218">
        <f t="shared" si="13"/>
        <v>363</v>
      </c>
      <c r="O30" s="836">
        <v>131.64599999999999</v>
      </c>
      <c r="P30" s="218">
        <f t="shared" si="14"/>
        <v>215</v>
      </c>
      <c r="Q30" s="220">
        <f t="shared" si="14"/>
        <v>56.760000000000019</v>
      </c>
    </row>
    <row r="31" spans="1:17" s="6" customFormat="1" ht="24.95" customHeight="1">
      <c r="A31" s="19">
        <v>3</v>
      </c>
      <c r="B31" s="203">
        <v>4</v>
      </c>
      <c r="C31" s="206"/>
      <c r="D31" s="836"/>
      <c r="E31" s="206">
        <v>4</v>
      </c>
      <c r="F31" s="837">
        <v>0.88700000000000001</v>
      </c>
      <c r="G31" s="302">
        <v>4</v>
      </c>
      <c r="H31" s="206"/>
      <c r="I31" s="206">
        <v>1.018</v>
      </c>
      <c r="J31" s="836"/>
      <c r="K31" s="218">
        <f>SUM(G31-H31)</f>
        <v>4</v>
      </c>
      <c r="L31" s="220">
        <f t="shared" si="12"/>
        <v>1.018</v>
      </c>
      <c r="M31" s="217">
        <f t="shared" si="13"/>
        <v>4</v>
      </c>
      <c r="N31" s="218">
        <f t="shared" si="13"/>
        <v>0</v>
      </c>
      <c r="O31" s="836"/>
      <c r="P31" s="218">
        <f t="shared" si="14"/>
        <v>4</v>
      </c>
      <c r="Q31" s="220">
        <f t="shared" si="14"/>
        <v>1.018</v>
      </c>
    </row>
    <row r="32" spans="1:17" s="6" customFormat="1" ht="24.95" customHeight="1">
      <c r="A32" s="19">
        <v>2</v>
      </c>
      <c r="B32" s="203">
        <v>183</v>
      </c>
      <c r="C32" s="206">
        <v>1</v>
      </c>
      <c r="D32" s="836">
        <v>0.32600000000000001</v>
      </c>
      <c r="E32" s="206">
        <v>183</v>
      </c>
      <c r="F32" s="837">
        <v>41.226999999999997</v>
      </c>
      <c r="G32" s="302"/>
      <c r="H32" s="206"/>
      <c r="I32" s="206"/>
      <c r="J32" s="836"/>
      <c r="K32" s="218">
        <f>SUM(G32-H32)</f>
        <v>0</v>
      </c>
      <c r="L32" s="220">
        <f t="shared" si="12"/>
        <v>0</v>
      </c>
      <c r="M32" s="217">
        <f t="shared" si="13"/>
        <v>0</v>
      </c>
      <c r="N32" s="218">
        <f t="shared" si="13"/>
        <v>0</v>
      </c>
      <c r="O32" s="836"/>
      <c r="P32" s="218">
        <f t="shared" si="14"/>
        <v>0</v>
      </c>
      <c r="Q32" s="220">
        <f t="shared" si="14"/>
        <v>0</v>
      </c>
    </row>
    <row r="33" spans="1:17" s="6" customFormat="1" ht="24.95" customHeight="1">
      <c r="A33" s="20">
        <v>1</v>
      </c>
      <c r="B33" s="227"/>
      <c r="C33" s="228"/>
      <c r="D33" s="838"/>
      <c r="E33" s="228"/>
      <c r="F33" s="839"/>
      <c r="G33" s="302"/>
      <c r="H33" s="228"/>
      <c r="I33" s="228"/>
      <c r="J33" s="838"/>
      <c r="K33" s="228"/>
      <c r="L33" s="839"/>
      <c r="M33" s="227"/>
      <c r="N33" s="228"/>
      <c r="O33" s="838"/>
      <c r="P33" s="228"/>
      <c r="Q33" s="839"/>
    </row>
    <row r="34" spans="1:17" s="6" customFormat="1" ht="24.95" customHeight="1">
      <c r="A34" s="208" t="s">
        <v>736</v>
      </c>
      <c r="B34" s="211">
        <f>SUM(B29:B33)</f>
        <v>887</v>
      </c>
      <c r="C34" s="211">
        <f t="shared" ref="C34:Q34" si="15">SUM(C29:C33)</f>
        <v>640</v>
      </c>
      <c r="D34" s="212">
        <f t="shared" si="15"/>
        <v>224.411</v>
      </c>
      <c r="E34" s="211">
        <f t="shared" si="15"/>
        <v>253</v>
      </c>
      <c r="F34" s="212">
        <f t="shared" si="15"/>
        <v>59.506</v>
      </c>
      <c r="G34" s="211">
        <f t="shared" si="15"/>
        <v>798</v>
      </c>
      <c r="H34" s="211">
        <f t="shared" si="15"/>
        <v>511</v>
      </c>
      <c r="I34" s="840">
        <f t="shared" si="15"/>
        <v>270.387</v>
      </c>
      <c r="J34" s="212">
        <f t="shared" si="15"/>
        <v>192.07399999999998</v>
      </c>
      <c r="K34" s="211">
        <f t="shared" si="15"/>
        <v>287</v>
      </c>
      <c r="L34" s="1038">
        <f t="shared" si="15"/>
        <v>78.313000000000017</v>
      </c>
      <c r="M34" s="211">
        <f t="shared" si="15"/>
        <v>798</v>
      </c>
      <c r="N34" s="211">
        <f>SUM(N29:N33)</f>
        <v>511</v>
      </c>
      <c r="O34" s="843">
        <f t="shared" si="15"/>
        <v>192.10499999999999</v>
      </c>
      <c r="P34" s="211">
        <f t="shared" si="15"/>
        <v>287</v>
      </c>
      <c r="Q34" s="840">
        <f t="shared" si="15"/>
        <v>78.313000000000017</v>
      </c>
    </row>
    <row r="35" spans="1:17" s="6" customFormat="1" ht="24.95" customHeight="1">
      <c r="A35" s="343" t="s">
        <v>735</v>
      </c>
      <c r="B35" s="344">
        <f>B34+B28+B16</f>
        <v>2170</v>
      </c>
      <c r="C35" s="344">
        <f t="shared" ref="C35:Q35" si="16">C34+C28+C16</f>
        <v>1634</v>
      </c>
      <c r="D35" s="345">
        <f t="shared" si="16"/>
        <v>1092.693</v>
      </c>
      <c r="E35" s="344">
        <f t="shared" si="16"/>
        <v>542</v>
      </c>
      <c r="F35" s="345">
        <f t="shared" si="16"/>
        <v>147.40899999999999</v>
      </c>
      <c r="G35" s="344">
        <f t="shared" si="16"/>
        <v>2076</v>
      </c>
      <c r="H35" s="344">
        <f t="shared" si="16"/>
        <v>1427</v>
      </c>
      <c r="I35" s="1040">
        <f t="shared" si="16"/>
        <v>1335.2359999999999</v>
      </c>
      <c r="J35" s="1041">
        <f t="shared" si="16"/>
        <v>912.79499999999985</v>
      </c>
      <c r="K35" s="344">
        <f t="shared" si="16"/>
        <v>649</v>
      </c>
      <c r="L35" s="1041">
        <f t="shared" si="16"/>
        <v>422.44099999999997</v>
      </c>
      <c r="M35" s="344">
        <f t="shared" si="16"/>
        <v>2076</v>
      </c>
      <c r="N35" s="344">
        <f t="shared" si="16"/>
        <v>1427</v>
      </c>
      <c r="O35" s="1042">
        <f t="shared" si="16"/>
        <v>899.15200000000004</v>
      </c>
      <c r="P35" s="344">
        <f t="shared" si="16"/>
        <v>649</v>
      </c>
      <c r="Q35" s="1040">
        <f t="shared" si="16"/>
        <v>422.44099999999997</v>
      </c>
    </row>
    <row r="36" spans="1:17" s="6" customFormat="1" ht="33" customHeight="1">
      <c r="A36" s="1452"/>
      <c r="B36" s="1452"/>
      <c r="C36" s="1452"/>
      <c r="D36" s="1452"/>
      <c r="E36" s="1452"/>
      <c r="F36" s="1452"/>
      <c r="G36" s="1452"/>
      <c r="H36" s="1452"/>
      <c r="I36" s="1452"/>
      <c r="J36" s="1452"/>
      <c r="K36" s="1452"/>
      <c r="L36" s="1452"/>
      <c r="M36" s="13"/>
      <c r="N36" s="13"/>
      <c r="O36" s="13"/>
      <c r="P36" s="13"/>
      <c r="Q36" s="13"/>
    </row>
    <row r="37" spans="1:17" s="6" customFormat="1">
      <c r="B37" s="13"/>
      <c r="C37" s="13"/>
      <c r="D37" s="841"/>
      <c r="E37" s="13"/>
      <c r="F37" s="841"/>
      <c r="G37" s="842"/>
      <c r="H37" s="13"/>
      <c r="I37" s="13"/>
      <c r="J37" s="841"/>
      <c r="K37" s="13"/>
      <c r="L37" s="841"/>
      <c r="M37" s="13"/>
      <c r="N37" s="13"/>
      <c r="O37" s="13"/>
      <c r="P37" s="13"/>
      <c r="Q37" s="13"/>
    </row>
    <row r="38" spans="1:17" s="6" customFormat="1">
      <c r="B38" s="13"/>
      <c r="C38" s="13"/>
      <c r="D38" s="841"/>
      <c r="E38" s="13"/>
      <c r="F38" s="841"/>
      <c r="G38" s="842"/>
      <c r="H38" s="13"/>
      <c r="I38" s="13"/>
      <c r="J38" s="841"/>
      <c r="K38" s="13"/>
      <c r="L38" s="841"/>
      <c r="M38" s="13"/>
      <c r="N38" s="13"/>
      <c r="O38" s="13"/>
      <c r="P38" s="13"/>
      <c r="Q38" s="13"/>
    </row>
    <row r="39" spans="1:17" s="6" customFormat="1">
      <c r="B39" s="13"/>
      <c r="C39" s="13"/>
      <c r="D39" s="841"/>
      <c r="E39" s="13"/>
      <c r="F39" s="841"/>
      <c r="G39" s="842"/>
      <c r="H39" s="13"/>
      <c r="I39" s="13"/>
      <c r="J39" s="841"/>
      <c r="K39" s="13"/>
      <c r="L39" s="841"/>
      <c r="M39" s="13"/>
      <c r="N39" s="13"/>
      <c r="O39" s="13"/>
      <c r="P39" s="13"/>
      <c r="Q39" s="13"/>
    </row>
    <row r="40" spans="1:17" s="6" customFormat="1">
      <c r="B40" s="13"/>
      <c r="C40" s="13"/>
      <c r="D40" s="841"/>
      <c r="E40" s="13"/>
      <c r="F40" s="841"/>
      <c r="G40" s="842"/>
      <c r="H40" s="13"/>
      <c r="I40" s="13"/>
      <c r="J40" s="841"/>
      <c r="K40" s="13"/>
      <c r="L40" s="841"/>
      <c r="M40" s="13"/>
      <c r="N40" s="13"/>
      <c r="O40" s="13"/>
      <c r="P40" s="13"/>
      <c r="Q40" s="13"/>
    </row>
    <row r="41" spans="1:17" s="6" customFormat="1">
      <c r="B41" s="13"/>
      <c r="C41" s="13"/>
      <c r="D41" s="841"/>
      <c r="E41" s="13"/>
      <c r="F41" s="841"/>
      <c r="G41" s="1453" t="s">
        <v>915</v>
      </c>
      <c r="H41" s="1453"/>
      <c r="I41" s="1453"/>
      <c r="J41" s="1453"/>
      <c r="M41" s="13"/>
      <c r="N41" s="13"/>
      <c r="O41" s="1043" t="s">
        <v>952</v>
      </c>
      <c r="P41" s="1044"/>
      <c r="Q41" s="655"/>
    </row>
    <row r="42" spans="1:17" s="6" customFormat="1">
      <c r="B42" s="13"/>
      <c r="C42" s="13"/>
      <c r="D42" s="841"/>
      <c r="E42" s="13"/>
      <c r="F42" s="841"/>
      <c r="G42" s="842"/>
      <c r="H42" s="13"/>
      <c r="I42" s="13"/>
      <c r="J42" s="841"/>
      <c r="K42" s="13"/>
      <c r="L42" s="841"/>
      <c r="M42" s="13"/>
      <c r="N42" s="13"/>
      <c r="O42" s="13"/>
      <c r="P42" s="13"/>
      <c r="Q42" s="13"/>
    </row>
    <row r="43" spans="1:17" s="6" customFormat="1">
      <c r="B43" s="13"/>
      <c r="C43" s="13"/>
      <c r="D43" s="841"/>
      <c r="E43" s="13"/>
      <c r="F43" s="841"/>
      <c r="G43" s="842"/>
      <c r="H43" s="13"/>
      <c r="I43" s="13"/>
      <c r="J43" s="841"/>
      <c r="K43" s="13"/>
      <c r="L43" s="841"/>
      <c r="M43" s="13"/>
      <c r="N43" s="13"/>
      <c r="O43" s="13"/>
      <c r="P43" s="13"/>
      <c r="Q43" s="13"/>
    </row>
    <row r="44" spans="1:17" s="6" customFormat="1">
      <c r="B44" s="13"/>
      <c r="C44" s="13"/>
      <c r="D44" s="841"/>
      <c r="E44" s="13"/>
      <c r="F44" s="841"/>
      <c r="G44" s="842"/>
      <c r="H44" s="13"/>
      <c r="I44" s="13"/>
      <c r="J44" s="841"/>
      <c r="K44" s="13"/>
      <c r="L44" s="841"/>
      <c r="M44" s="13"/>
      <c r="N44" s="13"/>
      <c r="O44" s="13"/>
      <c r="P44" s="13"/>
      <c r="Q44" s="13"/>
    </row>
    <row r="45" spans="1:17" s="6" customFormat="1">
      <c r="B45" s="13"/>
      <c r="C45" s="13"/>
      <c r="D45" s="841"/>
      <c r="E45" s="13"/>
      <c r="F45" s="841"/>
      <c r="G45" s="842"/>
      <c r="H45" s="13"/>
      <c r="I45" s="13"/>
      <c r="J45" s="841"/>
      <c r="K45" s="13"/>
      <c r="L45" s="841"/>
      <c r="M45" s="13"/>
      <c r="N45" s="13"/>
      <c r="O45" s="13"/>
      <c r="P45" s="13"/>
      <c r="Q45" s="13"/>
    </row>
    <row r="46" spans="1:17" s="6" customFormat="1">
      <c r="B46" s="13"/>
      <c r="C46" s="13"/>
      <c r="D46" s="841"/>
      <c r="E46" s="13"/>
      <c r="F46" s="841"/>
      <c r="G46" s="842"/>
      <c r="H46" s="13"/>
      <c r="I46" s="13"/>
      <c r="J46" s="841"/>
      <c r="K46" s="13"/>
      <c r="L46" s="841"/>
      <c r="M46" s="13"/>
      <c r="N46" s="13"/>
      <c r="O46" s="13"/>
      <c r="P46" s="13"/>
      <c r="Q46" s="13"/>
    </row>
    <row r="47" spans="1:17" s="6" customFormat="1">
      <c r="B47" s="13"/>
      <c r="C47" s="13"/>
      <c r="D47" s="841"/>
      <c r="E47" s="13"/>
      <c r="F47" s="841"/>
      <c r="G47" s="842"/>
      <c r="H47" s="13"/>
      <c r="I47" s="13"/>
      <c r="J47" s="841"/>
      <c r="K47" s="13"/>
      <c r="L47" s="841"/>
      <c r="M47" s="13"/>
      <c r="N47" s="13"/>
      <c r="O47" s="13"/>
      <c r="P47" s="13"/>
      <c r="Q47" s="13"/>
    </row>
    <row r="48" spans="1:17" s="6" customFormat="1">
      <c r="B48" s="13"/>
      <c r="C48" s="13"/>
      <c r="D48" s="841"/>
      <c r="E48" s="13"/>
      <c r="F48" s="841"/>
      <c r="G48" s="842"/>
      <c r="H48" s="13"/>
      <c r="I48" s="13"/>
      <c r="J48" s="841"/>
      <c r="K48" s="13"/>
      <c r="L48" s="841"/>
      <c r="M48" s="13"/>
      <c r="N48" s="13"/>
      <c r="O48" s="13"/>
      <c r="P48" s="13"/>
      <c r="Q48" s="13"/>
    </row>
    <row r="49" spans="2:17" s="6" customFormat="1">
      <c r="B49" s="13"/>
      <c r="C49" s="13"/>
      <c r="D49" s="841"/>
      <c r="E49" s="13"/>
      <c r="F49" s="841"/>
      <c r="G49" s="842"/>
      <c r="H49" s="13"/>
      <c r="I49" s="13"/>
      <c r="J49" s="841"/>
      <c r="K49" s="13"/>
      <c r="L49" s="841"/>
      <c r="M49" s="13"/>
      <c r="N49" s="13"/>
      <c r="O49" s="13"/>
      <c r="P49" s="13"/>
      <c r="Q49" s="13"/>
    </row>
    <row r="50" spans="2:17" s="6" customFormat="1">
      <c r="B50" s="13"/>
      <c r="C50" s="13"/>
      <c r="D50" s="841"/>
      <c r="E50" s="13"/>
      <c r="F50" s="841"/>
      <c r="G50" s="842"/>
      <c r="H50" s="13"/>
      <c r="I50" s="13"/>
      <c r="J50" s="841"/>
      <c r="K50" s="13"/>
      <c r="L50" s="841"/>
      <c r="M50" s="13"/>
      <c r="N50" s="13"/>
      <c r="O50" s="13"/>
      <c r="P50" s="13"/>
      <c r="Q50" s="13"/>
    </row>
    <row r="51" spans="2:17" s="6" customFormat="1">
      <c r="B51" s="13"/>
      <c r="C51" s="13"/>
      <c r="D51" s="841"/>
      <c r="E51" s="13"/>
      <c r="F51" s="841"/>
      <c r="G51" s="842"/>
      <c r="H51" s="13"/>
      <c r="I51" s="13"/>
      <c r="J51" s="841"/>
      <c r="K51" s="13"/>
      <c r="L51" s="841"/>
      <c r="M51" s="13"/>
      <c r="N51" s="13"/>
      <c r="O51" s="13"/>
      <c r="P51" s="13"/>
      <c r="Q51" s="13"/>
    </row>
    <row r="52" spans="2:17" s="6" customFormat="1">
      <c r="B52" s="13"/>
      <c r="C52" s="13"/>
      <c r="D52" s="841"/>
      <c r="E52" s="13"/>
      <c r="F52" s="841"/>
      <c r="G52" s="842"/>
      <c r="H52" s="13"/>
      <c r="I52" s="13"/>
      <c r="J52" s="841"/>
      <c r="K52" s="13"/>
      <c r="L52" s="841"/>
      <c r="M52" s="13"/>
      <c r="N52" s="13"/>
      <c r="O52" s="13"/>
      <c r="P52" s="13"/>
      <c r="Q52" s="13"/>
    </row>
    <row r="53" spans="2:17" s="6" customFormat="1">
      <c r="B53" s="13"/>
      <c r="C53" s="13"/>
      <c r="D53" s="841"/>
      <c r="E53" s="13"/>
      <c r="F53" s="841"/>
      <c r="G53" s="842"/>
      <c r="H53" s="13"/>
      <c r="I53" s="13"/>
      <c r="J53" s="841"/>
      <c r="K53" s="13"/>
      <c r="L53" s="841"/>
      <c r="M53" s="13"/>
      <c r="N53" s="13"/>
      <c r="O53" s="13"/>
      <c r="P53" s="13"/>
      <c r="Q53" s="13"/>
    </row>
    <row r="54" spans="2:17" s="6" customFormat="1">
      <c r="B54" s="13"/>
      <c r="C54" s="13"/>
      <c r="D54" s="841"/>
      <c r="E54" s="13"/>
      <c r="F54" s="841"/>
      <c r="G54" s="842"/>
      <c r="H54" s="13"/>
      <c r="I54" s="13"/>
      <c r="J54" s="841"/>
      <c r="K54" s="13"/>
      <c r="L54" s="841"/>
      <c r="M54" s="13"/>
      <c r="N54" s="13"/>
      <c r="O54" s="13"/>
      <c r="P54" s="13"/>
      <c r="Q54" s="13"/>
    </row>
    <row r="55" spans="2:17" s="6" customFormat="1">
      <c r="B55" s="13"/>
      <c r="C55" s="13"/>
      <c r="D55" s="841"/>
      <c r="E55" s="13"/>
      <c r="F55" s="841"/>
      <c r="G55" s="842"/>
      <c r="H55" s="13"/>
      <c r="I55" s="13"/>
      <c r="J55" s="841"/>
      <c r="K55" s="13"/>
      <c r="L55" s="841"/>
      <c r="M55" s="13"/>
      <c r="N55" s="13"/>
      <c r="O55" s="13"/>
      <c r="P55" s="13"/>
      <c r="Q55" s="13"/>
    </row>
    <row r="56" spans="2:17" s="6" customFormat="1">
      <c r="B56" s="13"/>
      <c r="C56" s="13"/>
      <c r="D56" s="841"/>
      <c r="E56" s="13"/>
      <c r="F56" s="841"/>
      <c r="G56" s="842"/>
      <c r="H56" s="13"/>
      <c r="I56" s="13"/>
      <c r="J56" s="841"/>
      <c r="K56" s="13"/>
      <c r="L56" s="841"/>
      <c r="M56" s="13"/>
      <c r="N56" s="13"/>
      <c r="O56" s="13"/>
      <c r="P56" s="13"/>
      <c r="Q56" s="13"/>
    </row>
    <row r="57" spans="2:17" s="6" customFormat="1">
      <c r="B57" s="13"/>
      <c r="C57" s="13"/>
      <c r="D57" s="841"/>
      <c r="E57" s="13"/>
      <c r="F57" s="841"/>
      <c r="G57" s="842"/>
      <c r="H57" s="13"/>
      <c r="I57" s="13"/>
      <c r="J57" s="841"/>
      <c r="K57" s="13"/>
      <c r="L57" s="841"/>
      <c r="M57" s="13"/>
      <c r="N57" s="13"/>
      <c r="O57" s="13"/>
      <c r="P57" s="13"/>
      <c r="Q57" s="13"/>
    </row>
    <row r="58" spans="2:17" s="6" customFormat="1">
      <c r="B58" s="13"/>
      <c r="C58" s="13"/>
      <c r="D58" s="841"/>
      <c r="E58" s="13"/>
      <c r="F58" s="841"/>
      <c r="G58" s="842"/>
      <c r="H58" s="13"/>
      <c r="I58" s="13"/>
      <c r="J58" s="841"/>
      <c r="K58" s="13"/>
      <c r="L58" s="841"/>
      <c r="M58" s="13"/>
      <c r="N58" s="13"/>
      <c r="O58" s="13"/>
      <c r="P58" s="13"/>
      <c r="Q58" s="13"/>
    </row>
    <row r="59" spans="2:17" s="6" customFormat="1">
      <c r="B59" s="13"/>
      <c r="C59" s="13"/>
      <c r="D59" s="841"/>
      <c r="E59" s="13"/>
      <c r="F59" s="841"/>
      <c r="G59" s="842"/>
      <c r="H59" s="13"/>
      <c r="I59" s="13"/>
      <c r="J59" s="841"/>
      <c r="K59" s="13"/>
      <c r="L59" s="841"/>
      <c r="M59" s="13"/>
      <c r="N59" s="13"/>
      <c r="O59" s="13"/>
      <c r="P59" s="13"/>
      <c r="Q59" s="13"/>
    </row>
    <row r="60" spans="2:17" s="6" customFormat="1">
      <c r="B60" s="13"/>
      <c r="C60" s="13"/>
      <c r="D60" s="841"/>
      <c r="E60" s="13"/>
      <c r="F60" s="841"/>
      <c r="G60" s="842"/>
      <c r="H60" s="13"/>
      <c r="I60" s="13"/>
      <c r="J60" s="841"/>
      <c r="K60" s="13"/>
      <c r="L60" s="841"/>
      <c r="M60" s="13"/>
      <c r="N60" s="13"/>
      <c r="O60" s="13"/>
      <c r="P60" s="13"/>
      <c r="Q60" s="13"/>
    </row>
    <row r="61" spans="2:17" s="6" customFormat="1">
      <c r="B61" s="13"/>
      <c r="C61" s="13"/>
      <c r="D61" s="841"/>
      <c r="E61" s="13"/>
      <c r="F61" s="841"/>
      <c r="G61" s="842"/>
      <c r="H61" s="13"/>
      <c r="I61" s="13"/>
      <c r="J61" s="841"/>
      <c r="K61" s="13"/>
      <c r="L61" s="841"/>
      <c r="M61" s="13"/>
      <c r="N61" s="13"/>
      <c r="O61" s="13"/>
      <c r="P61" s="13"/>
      <c r="Q61" s="13"/>
    </row>
    <row r="62" spans="2:17" s="6" customFormat="1">
      <c r="B62" s="13"/>
      <c r="C62" s="13"/>
      <c r="D62" s="841"/>
      <c r="E62" s="13"/>
      <c r="F62" s="841"/>
      <c r="G62" s="842"/>
      <c r="H62" s="13"/>
      <c r="I62" s="13"/>
      <c r="J62" s="841"/>
      <c r="K62" s="13"/>
      <c r="L62" s="841"/>
      <c r="M62" s="13"/>
      <c r="N62" s="13"/>
      <c r="O62" s="13"/>
      <c r="P62" s="13"/>
      <c r="Q62" s="13"/>
    </row>
    <row r="63" spans="2:17" s="6" customFormat="1">
      <c r="B63" s="13"/>
      <c r="C63" s="13"/>
      <c r="D63" s="841"/>
      <c r="E63" s="13"/>
      <c r="F63" s="841"/>
      <c r="G63" s="842"/>
      <c r="H63" s="13"/>
      <c r="I63" s="13"/>
      <c r="J63" s="841"/>
      <c r="K63" s="13"/>
      <c r="L63" s="841"/>
      <c r="M63" s="13"/>
      <c r="N63" s="13"/>
      <c r="O63" s="13"/>
      <c r="P63" s="13"/>
      <c r="Q63" s="13"/>
    </row>
    <row r="64" spans="2:17" s="6" customFormat="1">
      <c r="B64" s="13"/>
      <c r="C64" s="13"/>
      <c r="D64" s="841"/>
      <c r="E64" s="13"/>
      <c r="F64" s="841"/>
      <c r="G64" s="842"/>
      <c r="H64" s="13"/>
      <c r="I64" s="13"/>
      <c r="J64" s="841"/>
      <c r="K64" s="13"/>
      <c r="L64" s="841"/>
      <c r="M64" s="13"/>
      <c r="N64" s="13"/>
      <c r="O64" s="13"/>
      <c r="P64" s="13"/>
      <c r="Q64" s="13"/>
    </row>
  </sheetData>
  <mergeCells count="21">
    <mergeCell ref="M8:M9"/>
    <mergeCell ref="N8:O8"/>
    <mergeCell ref="P8:Q8"/>
    <mergeCell ref="A36:L36"/>
    <mergeCell ref="G41:J41"/>
    <mergeCell ref="A7:A9"/>
    <mergeCell ref="B7:F7"/>
    <mergeCell ref="G7:L7"/>
    <mergeCell ref="M7:Q7"/>
    <mergeCell ref="B8:B9"/>
    <mergeCell ref="C8:D8"/>
    <mergeCell ref="E8:F8"/>
    <mergeCell ref="G8:G9"/>
    <mergeCell ref="H8:J8"/>
    <mergeCell ref="K8:L8"/>
    <mergeCell ref="A6:Q6"/>
    <mergeCell ref="P1:Q1"/>
    <mergeCell ref="A2:Q2"/>
    <mergeCell ref="A3:L3"/>
    <mergeCell ref="A4:D4"/>
    <mergeCell ref="P5:Q5"/>
  </mergeCells>
  <printOptions horizontalCentered="1"/>
  <pageMargins left="0.5" right="0.25" top="0.25" bottom="0.25" header="0.25" footer="0.25"/>
  <pageSetup paperSize="9"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Q64"/>
  <sheetViews>
    <sheetView view="pageBreakPreview" topLeftCell="A8" zoomScaleSheetLayoutView="100" workbookViewId="0">
      <selection activeCell="O35" sqref="O35"/>
    </sheetView>
  </sheetViews>
  <sheetFormatPr defaultColWidth="9.140625" defaultRowHeight="15"/>
  <cols>
    <col min="1" max="1" width="10.7109375" style="1" customWidth="1"/>
    <col min="2" max="3" width="7.7109375" style="190" customWidth="1"/>
    <col min="4" max="4" width="10.7109375" style="828" customWidth="1"/>
    <col min="5" max="5" width="7.7109375" style="190" customWidth="1"/>
    <col min="6" max="6" width="10.7109375" style="828" customWidth="1"/>
    <col min="7" max="7" width="7.7109375" style="829" customWidth="1"/>
    <col min="8" max="8" width="7.7109375" style="190" customWidth="1"/>
    <col min="9" max="9" width="13.28515625" style="190" customWidth="1"/>
    <col min="10" max="10" width="10.7109375" style="828" customWidth="1"/>
    <col min="11" max="11" width="7.7109375" style="190" customWidth="1"/>
    <col min="12" max="12" width="10.7109375" style="828" customWidth="1"/>
    <col min="13" max="14" width="7.7109375" style="190" customWidth="1"/>
    <col min="15" max="15" width="10.7109375" style="190" customWidth="1"/>
    <col min="16" max="16" width="7.7109375" style="190" customWidth="1"/>
    <col min="17" max="17" width="10.7109375" style="190" customWidth="1"/>
    <col min="18" max="253" width="9.140625" style="1"/>
    <col min="254" max="254" width="6.85546875" style="1" customWidth="1"/>
    <col min="255" max="255" width="11.140625" style="1" customWidth="1"/>
    <col min="256" max="256" width="8.42578125" style="1" bestFit="1" customWidth="1"/>
    <col min="257" max="257" width="12.5703125" style="1" customWidth="1"/>
    <col min="258" max="258" width="9.85546875" style="1" bestFit="1" customWidth="1"/>
    <col min="259" max="259" width="12.5703125" style="1" customWidth="1"/>
    <col min="260" max="260" width="11.42578125" style="1" bestFit="1" customWidth="1"/>
    <col min="261" max="261" width="8.42578125" style="1" bestFit="1" customWidth="1"/>
    <col min="262" max="262" width="12.5703125" style="1" customWidth="1"/>
    <col min="263" max="263" width="8.42578125" style="1" bestFit="1" customWidth="1"/>
    <col min="264" max="264" width="12.5703125" style="1" customWidth="1"/>
    <col min="265" max="267" width="12.140625" style="1" customWidth="1"/>
    <col min="268" max="509" width="9.140625" style="1"/>
    <col min="510" max="510" width="6.85546875" style="1" customWidth="1"/>
    <col min="511" max="511" width="11.140625" style="1" customWidth="1"/>
    <col min="512" max="512" width="8.42578125" style="1" bestFit="1" customWidth="1"/>
    <col min="513" max="513" width="12.5703125" style="1" customWidth="1"/>
    <col min="514" max="514" width="9.85546875" style="1" bestFit="1" customWidth="1"/>
    <col min="515" max="515" width="12.5703125" style="1" customWidth="1"/>
    <col min="516" max="516" width="11.42578125" style="1" bestFit="1" customWidth="1"/>
    <col min="517" max="517" width="8.42578125" style="1" bestFit="1" customWidth="1"/>
    <col min="518" max="518" width="12.5703125" style="1" customWidth="1"/>
    <col min="519" max="519" width="8.42578125" style="1" bestFit="1" customWidth="1"/>
    <col min="520" max="520" width="12.5703125" style="1" customWidth="1"/>
    <col min="521" max="523" width="12.140625" style="1" customWidth="1"/>
    <col min="524" max="765" width="9.140625" style="1"/>
    <col min="766" max="766" width="6.85546875" style="1" customWidth="1"/>
    <col min="767" max="767" width="11.140625" style="1" customWidth="1"/>
    <col min="768" max="768" width="8.42578125" style="1" bestFit="1" customWidth="1"/>
    <col min="769" max="769" width="12.5703125" style="1" customWidth="1"/>
    <col min="770" max="770" width="9.85546875" style="1" bestFit="1" customWidth="1"/>
    <col min="771" max="771" width="12.5703125" style="1" customWidth="1"/>
    <col min="772" max="772" width="11.42578125" style="1" bestFit="1" customWidth="1"/>
    <col min="773" max="773" width="8.42578125" style="1" bestFit="1" customWidth="1"/>
    <col min="774" max="774" width="12.5703125" style="1" customWidth="1"/>
    <col min="775" max="775" width="8.42578125" style="1" bestFit="1" customWidth="1"/>
    <col min="776" max="776" width="12.5703125" style="1" customWidth="1"/>
    <col min="777" max="779" width="12.140625" style="1" customWidth="1"/>
    <col min="780" max="1021" width="9.140625" style="1"/>
    <col min="1022" max="1022" width="6.85546875" style="1" customWidth="1"/>
    <col min="1023" max="1023" width="11.140625" style="1" customWidth="1"/>
    <col min="1024" max="1024" width="8.42578125" style="1" bestFit="1" customWidth="1"/>
    <col min="1025" max="1025" width="12.5703125" style="1" customWidth="1"/>
    <col min="1026" max="1026" width="9.85546875" style="1" bestFit="1" customWidth="1"/>
    <col min="1027" max="1027" width="12.5703125" style="1" customWidth="1"/>
    <col min="1028" max="1028" width="11.42578125" style="1" bestFit="1" customWidth="1"/>
    <col min="1029" max="1029" width="8.42578125" style="1" bestFit="1" customWidth="1"/>
    <col min="1030" max="1030" width="12.5703125" style="1" customWidth="1"/>
    <col min="1031" max="1031" width="8.42578125" style="1" bestFit="1" customWidth="1"/>
    <col min="1032" max="1032" width="12.5703125" style="1" customWidth="1"/>
    <col min="1033" max="1035" width="12.140625" style="1" customWidth="1"/>
    <col min="1036" max="1277" width="9.140625" style="1"/>
    <col min="1278" max="1278" width="6.85546875" style="1" customWidth="1"/>
    <col min="1279" max="1279" width="11.140625" style="1" customWidth="1"/>
    <col min="1280" max="1280" width="8.42578125" style="1" bestFit="1" customWidth="1"/>
    <col min="1281" max="1281" width="12.5703125" style="1" customWidth="1"/>
    <col min="1282" max="1282" width="9.85546875" style="1" bestFit="1" customWidth="1"/>
    <col min="1283" max="1283" width="12.5703125" style="1" customWidth="1"/>
    <col min="1284" max="1284" width="11.42578125" style="1" bestFit="1" customWidth="1"/>
    <col min="1285" max="1285" width="8.42578125" style="1" bestFit="1" customWidth="1"/>
    <col min="1286" max="1286" width="12.5703125" style="1" customWidth="1"/>
    <col min="1287" max="1287" width="8.42578125" style="1" bestFit="1" customWidth="1"/>
    <col min="1288" max="1288" width="12.5703125" style="1" customWidth="1"/>
    <col min="1289" max="1291" width="12.140625" style="1" customWidth="1"/>
    <col min="1292" max="1533" width="9.140625" style="1"/>
    <col min="1534" max="1534" width="6.85546875" style="1" customWidth="1"/>
    <col min="1535" max="1535" width="11.140625" style="1" customWidth="1"/>
    <col min="1536" max="1536" width="8.42578125" style="1" bestFit="1" customWidth="1"/>
    <col min="1537" max="1537" width="12.5703125" style="1" customWidth="1"/>
    <col min="1538" max="1538" width="9.85546875" style="1" bestFit="1" customWidth="1"/>
    <col min="1539" max="1539" width="12.5703125" style="1" customWidth="1"/>
    <col min="1540" max="1540" width="11.42578125" style="1" bestFit="1" customWidth="1"/>
    <col min="1541" max="1541" width="8.42578125" style="1" bestFit="1" customWidth="1"/>
    <col min="1542" max="1542" width="12.5703125" style="1" customWidth="1"/>
    <col min="1543" max="1543" width="8.42578125" style="1" bestFit="1" customWidth="1"/>
    <col min="1544" max="1544" width="12.5703125" style="1" customWidth="1"/>
    <col min="1545" max="1547" width="12.140625" style="1" customWidth="1"/>
    <col min="1548" max="1789" width="9.140625" style="1"/>
    <col min="1790" max="1790" width="6.85546875" style="1" customWidth="1"/>
    <col min="1791" max="1791" width="11.140625" style="1" customWidth="1"/>
    <col min="1792" max="1792" width="8.42578125" style="1" bestFit="1" customWidth="1"/>
    <col min="1793" max="1793" width="12.5703125" style="1" customWidth="1"/>
    <col min="1794" max="1794" width="9.85546875" style="1" bestFit="1" customWidth="1"/>
    <col min="1795" max="1795" width="12.5703125" style="1" customWidth="1"/>
    <col min="1796" max="1796" width="11.42578125" style="1" bestFit="1" customWidth="1"/>
    <col min="1797" max="1797" width="8.42578125" style="1" bestFit="1" customWidth="1"/>
    <col min="1798" max="1798" width="12.5703125" style="1" customWidth="1"/>
    <col min="1799" max="1799" width="8.42578125" style="1" bestFit="1" customWidth="1"/>
    <col min="1800" max="1800" width="12.5703125" style="1" customWidth="1"/>
    <col min="1801" max="1803" width="12.140625" style="1" customWidth="1"/>
    <col min="1804" max="2045" width="9.140625" style="1"/>
    <col min="2046" max="2046" width="6.85546875" style="1" customWidth="1"/>
    <col min="2047" max="2047" width="11.140625" style="1" customWidth="1"/>
    <col min="2048" max="2048" width="8.42578125" style="1" bestFit="1" customWidth="1"/>
    <col min="2049" max="2049" width="12.5703125" style="1" customWidth="1"/>
    <col min="2050" max="2050" width="9.85546875" style="1" bestFit="1" customWidth="1"/>
    <col min="2051" max="2051" width="12.5703125" style="1" customWidth="1"/>
    <col min="2052" max="2052" width="11.42578125" style="1" bestFit="1" customWidth="1"/>
    <col min="2053" max="2053" width="8.42578125" style="1" bestFit="1" customWidth="1"/>
    <col min="2054" max="2054" width="12.5703125" style="1" customWidth="1"/>
    <col min="2055" max="2055" width="8.42578125" style="1" bestFit="1" customWidth="1"/>
    <col min="2056" max="2056" width="12.5703125" style="1" customWidth="1"/>
    <col min="2057" max="2059" width="12.140625" style="1" customWidth="1"/>
    <col min="2060" max="2301" width="9.140625" style="1"/>
    <col min="2302" max="2302" width="6.85546875" style="1" customWidth="1"/>
    <col min="2303" max="2303" width="11.140625" style="1" customWidth="1"/>
    <col min="2304" max="2304" width="8.42578125" style="1" bestFit="1" customWidth="1"/>
    <col min="2305" max="2305" width="12.5703125" style="1" customWidth="1"/>
    <col min="2306" max="2306" width="9.85546875" style="1" bestFit="1" customWidth="1"/>
    <col min="2307" max="2307" width="12.5703125" style="1" customWidth="1"/>
    <col min="2308" max="2308" width="11.42578125" style="1" bestFit="1" customWidth="1"/>
    <col min="2309" max="2309" width="8.42578125" style="1" bestFit="1" customWidth="1"/>
    <col min="2310" max="2310" width="12.5703125" style="1" customWidth="1"/>
    <col min="2311" max="2311" width="8.42578125" style="1" bestFit="1" customWidth="1"/>
    <col min="2312" max="2312" width="12.5703125" style="1" customWidth="1"/>
    <col min="2313" max="2315" width="12.140625" style="1" customWidth="1"/>
    <col min="2316" max="2557" width="9.140625" style="1"/>
    <col min="2558" max="2558" width="6.85546875" style="1" customWidth="1"/>
    <col min="2559" max="2559" width="11.140625" style="1" customWidth="1"/>
    <col min="2560" max="2560" width="8.42578125" style="1" bestFit="1" customWidth="1"/>
    <col min="2561" max="2561" width="12.5703125" style="1" customWidth="1"/>
    <col min="2562" max="2562" width="9.85546875" style="1" bestFit="1" customWidth="1"/>
    <col min="2563" max="2563" width="12.5703125" style="1" customWidth="1"/>
    <col min="2564" max="2564" width="11.42578125" style="1" bestFit="1" customWidth="1"/>
    <col min="2565" max="2565" width="8.42578125" style="1" bestFit="1" customWidth="1"/>
    <col min="2566" max="2566" width="12.5703125" style="1" customWidth="1"/>
    <col min="2567" max="2567" width="8.42578125" style="1" bestFit="1" customWidth="1"/>
    <col min="2568" max="2568" width="12.5703125" style="1" customWidth="1"/>
    <col min="2569" max="2571" width="12.140625" style="1" customWidth="1"/>
    <col min="2572" max="2813" width="9.140625" style="1"/>
    <col min="2814" max="2814" width="6.85546875" style="1" customWidth="1"/>
    <col min="2815" max="2815" width="11.140625" style="1" customWidth="1"/>
    <col min="2816" max="2816" width="8.42578125" style="1" bestFit="1" customWidth="1"/>
    <col min="2817" max="2817" width="12.5703125" style="1" customWidth="1"/>
    <col min="2818" max="2818" width="9.85546875" style="1" bestFit="1" customWidth="1"/>
    <col min="2819" max="2819" width="12.5703125" style="1" customWidth="1"/>
    <col min="2820" max="2820" width="11.42578125" style="1" bestFit="1" customWidth="1"/>
    <col min="2821" max="2821" width="8.42578125" style="1" bestFit="1" customWidth="1"/>
    <col min="2822" max="2822" width="12.5703125" style="1" customWidth="1"/>
    <col min="2823" max="2823" width="8.42578125" style="1" bestFit="1" customWidth="1"/>
    <col min="2824" max="2824" width="12.5703125" style="1" customWidth="1"/>
    <col min="2825" max="2827" width="12.140625" style="1" customWidth="1"/>
    <col min="2828" max="3069" width="9.140625" style="1"/>
    <col min="3070" max="3070" width="6.85546875" style="1" customWidth="1"/>
    <col min="3071" max="3071" width="11.140625" style="1" customWidth="1"/>
    <col min="3072" max="3072" width="8.42578125" style="1" bestFit="1" customWidth="1"/>
    <col min="3073" max="3073" width="12.5703125" style="1" customWidth="1"/>
    <col min="3074" max="3074" width="9.85546875" style="1" bestFit="1" customWidth="1"/>
    <col min="3075" max="3075" width="12.5703125" style="1" customWidth="1"/>
    <col min="3076" max="3076" width="11.42578125" style="1" bestFit="1" customWidth="1"/>
    <col min="3077" max="3077" width="8.42578125" style="1" bestFit="1" customWidth="1"/>
    <col min="3078" max="3078" width="12.5703125" style="1" customWidth="1"/>
    <col min="3079" max="3079" width="8.42578125" style="1" bestFit="1" customWidth="1"/>
    <col min="3080" max="3080" width="12.5703125" style="1" customWidth="1"/>
    <col min="3081" max="3083" width="12.140625" style="1" customWidth="1"/>
    <col min="3084" max="3325" width="9.140625" style="1"/>
    <col min="3326" max="3326" width="6.85546875" style="1" customWidth="1"/>
    <col min="3327" max="3327" width="11.140625" style="1" customWidth="1"/>
    <col min="3328" max="3328" width="8.42578125" style="1" bestFit="1" customWidth="1"/>
    <col min="3329" max="3329" width="12.5703125" style="1" customWidth="1"/>
    <col min="3330" max="3330" width="9.85546875" style="1" bestFit="1" customWidth="1"/>
    <col min="3331" max="3331" width="12.5703125" style="1" customWidth="1"/>
    <col min="3332" max="3332" width="11.42578125" style="1" bestFit="1" customWidth="1"/>
    <col min="3333" max="3333" width="8.42578125" style="1" bestFit="1" customWidth="1"/>
    <col min="3334" max="3334" width="12.5703125" style="1" customWidth="1"/>
    <col min="3335" max="3335" width="8.42578125" style="1" bestFit="1" customWidth="1"/>
    <col min="3336" max="3336" width="12.5703125" style="1" customWidth="1"/>
    <col min="3337" max="3339" width="12.140625" style="1" customWidth="1"/>
    <col min="3340" max="3581" width="9.140625" style="1"/>
    <col min="3582" max="3582" width="6.85546875" style="1" customWidth="1"/>
    <col min="3583" max="3583" width="11.140625" style="1" customWidth="1"/>
    <col min="3584" max="3584" width="8.42578125" style="1" bestFit="1" customWidth="1"/>
    <col min="3585" max="3585" width="12.5703125" style="1" customWidth="1"/>
    <col min="3586" max="3586" width="9.85546875" style="1" bestFit="1" customWidth="1"/>
    <col min="3587" max="3587" width="12.5703125" style="1" customWidth="1"/>
    <col min="3588" max="3588" width="11.42578125" style="1" bestFit="1" customWidth="1"/>
    <col min="3589" max="3589" width="8.42578125" style="1" bestFit="1" customWidth="1"/>
    <col min="3590" max="3590" width="12.5703125" style="1" customWidth="1"/>
    <col min="3591" max="3591" width="8.42578125" style="1" bestFit="1" customWidth="1"/>
    <col min="3592" max="3592" width="12.5703125" style="1" customWidth="1"/>
    <col min="3593" max="3595" width="12.140625" style="1" customWidth="1"/>
    <col min="3596" max="3837" width="9.140625" style="1"/>
    <col min="3838" max="3838" width="6.85546875" style="1" customWidth="1"/>
    <col min="3839" max="3839" width="11.140625" style="1" customWidth="1"/>
    <col min="3840" max="3840" width="8.42578125" style="1" bestFit="1" customWidth="1"/>
    <col min="3841" max="3841" width="12.5703125" style="1" customWidth="1"/>
    <col min="3842" max="3842" width="9.85546875" style="1" bestFit="1" customWidth="1"/>
    <col min="3843" max="3843" width="12.5703125" style="1" customWidth="1"/>
    <col min="3844" max="3844" width="11.42578125" style="1" bestFit="1" customWidth="1"/>
    <col min="3845" max="3845" width="8.42578125" style="1" bestFit="1" customWidth="1"/>
    <col min="3846" max="3846" width="12.5703125" style="1" customWidth="1"/>
    <col min="3847" max="3847" width="8.42578125" style="1" bestFit="1" customWidth="1"/>
    <col min="3848" max="3848" width="12.5703125" style="1" customWidth="1"/>
    <col min="3849" max="3851" width="12.140625" style="1" customWidth="1"/>
    <col min="3852" max="4093" width="9.140625" style="1"/>
    <col min="4094" max="4094" width="6.85546875" style="1" customWidth="1"/>
    <col min="4095" max="4095" width="11.140625" style="1" customWidth="1"/>
    <col min="4096" max="4096" width="8.42578125" style="1" bestFit="1" customWidth="1"/>
    <col min="4097" max="4097" width="12.5703125" style="1" customWidth="1"/>
    <col min="4098" max="4098" width="9.85546875" style="1" bestFit="1" customWidth="1"/>
    <col min="4099" max="4099" width="12.5703125" style="1" customWidth="1"/>
    <col min="4100" max="4100" width="11.42578125" style="1" bestFit="1" customWidth="1"/>
    <col min="4101" max="4101" width="8.42578125" style="1" bestFit="1" customWidth="1"/>
    <col min="4102" max="4102" width="12.5703125" style="1" customWidth="1"/>
    <col min="4103" max="4103" width="8.42578125" style="1" bestFit="1" customWidth="1"/>
    <col min="4104" max="4104" width="12.5703125" style="1" customWidth="1"/>
    <col min="4105" max="4107" width="12.140625" style="1" customWidth="1"/>
    <col min="4108" max="4349" width="9.140625" style="1"/>
    <col min="4350" max="4350" width="6.85546875" style="1" customWidth="1"/>
    <col min="4351" max="4351" width="11.140625" style="1" customWidth="1"/>
    <col min="4352" max="4352" width="8.42578125" style="1" bestFit="1" customWidth="1"/>
    <col min="4353" max="4353" width="12.5703125" style="1" customWidth="1"/>
    <col min="4354" max="4354" width="9.85546875" style="1" bestFit="1" customWidth="1"/>
    <col min="4355" max="4355" width="12.5703125" style="1" customWidth="1"/>
    <col min="4356" max="4356" width="11.42578125" style="1" bestFit="1" customWidth="1"/>
    <col min="4357" max="4357" width="8.42578125" style="1" bestFit="1" customWidth="1"/>
    <col min="4358" max="4358" width="12.5703125" style="1" customWidth="1"/>
    <col min="4359" max="4359" width="8.42578125" style="1" bestFit="1" customWidth="1"/>
    <col min="4360" max="4360" width="12.5703125" style="1" customWidth="1"/>
    <col min="4361" max="4363" width="12.140625" style="1" customWidth="1"/>
    <col min="4364" max="4605" width="9.140625" style="1"/>
    <col min="4606" max="4606" width="6.85546875" style="1" customWidth="1"/>
    <col min="4607" max="4607" width="11.140625" style="1" customWidth="1"/>
    <col min="4608" max="4608" width="8.42578125" style="1" bestFit="1" customWidth="1"/>
    <col min="4609" max="4609" width="12.5703125" style="1" customWidth="1"/>
    <col min="4610" max="4610" width="9.85546875" style="1" bestFit="1" customWidth="1"/>
    <col min="4611" max="4611" width="12.5703125" style="1" customWidth="1"/>
    <col min="4612" max="4612" width="11.42578125" style="1" bestFit="1" customWidth="1"/>
    <col min="4613" max="4613" width="8.42578125" style="1" bestFit="1" customWidth="1"/>
    <col min="4614" max="4614" width="12.5703125" style="1" customWidth="1"/>
    <col min="4615" max="4615" width="8.42578125" style="1" bestFit="1" customWidth="1"/>
    <col min="4616" max="4616" width="12.5703125" style="1" customWidth="1"/>
    <col min="4617" max="4619" width="12.140625" style="1" customWidth="1"/>
    <col min="4620" max="4861" width="9.140625" style="1"/>
    <col min="4862" max="4862" width="6.85546875" style="1" customWidth="1"/>
    <col min="4863" max="4863" width="11.140625" style="1" customWidth="1"/>
    <col min="4864" max="4864" width="8.42578125" style="1" bestFit="1" customWidth="1"/>
    <col min="4865" max="4865" width="12.5703125" style="1" customWidth="1"/>
    <col min="4866" max="4866" width="9.85546875" style="1" bestFit="1" customWidth="1"/>
    <col min="4867" max="4867" width="12.5703125" style="1" customWidth="1"/>
    <col min="4868" max="4868" width="11.42578125" style="1" bestFit="1" customWidth="1"/>
    <col min="4869" max="4869" width="8.42578125" style="1" bestFit="1" customWidth="1"/>
    <col min="4870" max="4870" width="12.5703125" style="1" customWidth="1"/>
    <col min="4871" max="4871" width="8.42578125" style="1" bestFit="1" customWidth="1"/>
    <col min="4872" max="4872" width="12.5703125" style="1" customWidth="1"/>
    <col min="4873" max="4875" width="12.140625" style="1" customWidth="1"/>
    <col min="4876" max="5117" width="9.140625" style="1"/>
    <col min="5118" max="5118" width="6.85546875" style="1" customWidth="1"/>
    <col min="5119" max="5119" width="11.140625" style="1" customWidth="1"/>
    <col min="5120" max="5120" width="8.42578125" style="1" bestFit="1" customWidth="1"/>
    <col min="5121" max="5121" width="12.5703125" style="1" customWidth="1"/>
    <col min="5122" max="5122" width="9.85546875" style="1" bestFit="1" customWidth="1"/>
    <col min="5123" max="5123" width="12.5703125" style="1" customWidth="1"/>
    <col min="5124" max="5124" width="11.42578125" style="1" bestFit="1" customWidth="1"/>
    <col min="5125" max="5125" width="8.42578125" style="1" bestFit="1" customWidth="1"/>
    <col min="5126" max="5126" width="12.5703125" style="1" customWidth="1"/>
    <col min="5127" max="5127" width="8.42578125" style="1" bestFit="1" customWidth="1"/>
    <col min="5128" max="5128" width="12.5703125" style="1" customWidth="1"/>
    <col min="5129" max="5131" width="12.140625" style="1" customWidth="1"/>
    <col min="5132" max="5373" width="9.140625" style="1"/>
    <col min="5374" max="5374" width="6.85546875" style="1" customWidth="1"/>
    <col min="5375" max="5375" width="11.140625" style="1" customWidth="1"/>
    <col min="5376" max="5376" width="8.42578125" style="1" bestFit="1" customWidth="1"/>
    <col min="5377" max="5377" width="12.5703125" style="1" customWidth="1"/>
    <col min="5378" max="5378" width="9.85546875" style="1" bestFit="1" customWidth="1"/>
    <col min="5379" max="5379" width="12.5703125" style="1" customWidth="1"/>
    <col min="5380" max="5380" width="11.42578125" style="1" bestFit="1" customWidth="1"/>
    <col min="5381" max="5381" width="8.42578125" style="1" bestFit="1" customWidth="1"/>
    <col min="5382" max="5382" width="12.5703125" style="1" customWidth="1"/>
    <col min="5383" max="5383" width="8.42578125" style="1" bestFit="1" customWidth="1"/>
    <col min="5384" max="5384" width="12.5703125" style="1" customWidth="1"/>
    <col min="5385" max="5387" width="12.140625" style="1" customWidth="1"/>
    <col min="5388" max="5629" width="9.140625" style="1"/>
    <col min="5630" max="5630" width="6.85546875" style="1" customWidth="1"/>
    <col min="5631" max="5631" width="11.140625" style="1" customWidth="1"/>
    <col min="5632" max="5632" width="8.42578125" style="1" bestFit="1" customWidth="1"/>
    <col min="5633" max="5633" width="12.5703125" style="1" customWidth="1"/>
    <col min="5634" max="5634" width="9.85546875" style="1" bestFit="1" customWidth="1"/>
    <col min="5635" max="5635" width="12.5703125" style="1" customWidth="1"/>
    <col min="5636" max="5636" width="11.42578125" style="1" bestFit="1" customWidth="1"/>
    <col min="5637" max="5637" width="8.42578125" style="1" bestFit="1" customWidth="1"/>
    <col min="5638" max="5638" width="12.5703125" style="1" customWidth="1"/>
    <col min="5639" max="5639" width="8.42578125" style="1" bestFit="1" customWidth="1"/>
    <col min="5640" max="5640" width="12.5703125" style="1" customWidth="1"/>
    <col min="5641" max="5643" width="12.140625" style="1" customWidth="1"/>
    <col min="5644" max="5885" width="9.140625" style="1"/>
    <col min="5886" max="5886" width="6.85546875" style="1" customWidth="1"/>
    <col min="5887" max="5887" width="11.140625" style="1" customWidth="1"/>
    <col min="5888" max="5888" width="8.42578125" style="1" bestFit="1" customWidth="1"/>
    <col min="5889" max="5889" width="12.5703125" style="1" customWidth="1"/>
    <col min="5890" max="5890" width="9.85546875" style="1" bestFit="1" customWidth="1"/>
    <col min="5891" max="5891" width="12.5703125" style="1" customWidth="1"/>
    <col min="5892" max="5892" width="11.42578125" style="1" bestFit="1" customWidth="1"/>
    <col min="5893" max="5893" width="8.42578125" style="1" bestFit="1" customWidth="1"/>
    <col min="5894" max="5894" width="12.5703125" style="1" customWidth="1"/>
    <col min="5895" max="5895" width="8.42578125" style="1" bestFit="1" customWidth="1"/>
    <col min="5896" max="5896" width="12.5703125" style="1" customWidth="1"/>
    <col min="5897" max="5899" width="12.140625" style="1" customWidth="1"/>
    <col min="5900" max="6141" width="9.140625" style="1"/>
    <col min="6142" max="6142" width="6.85546875" style="1" customWidth="1"/>
    <col min="6143" max="6143" width="11.140625" style="1" customWidth="1"/>
    <col min="6144" max="6144" width="8.42578125" style="1" bestFit="1" customWidth="1"/>
    <col min="6145" max="6145" width="12.5703125" style="1" customWidth="1"/>
    <col min="6146" max="6146" width="9.85546875" style="1" bestFit="1" customWidth="1"/>
    <col min="6147" max="6147" width="12.5703125" style="1" customWidth="1"/>
    <col min="6148" max="6148" width="11.42578125" style="1" bestFit="1" customWidth="1"/>
    <col min="6149" max="6149" width="8.42578125" style="1" bestFit="1" customWidth="1"/>
    <col min="6150" max="6150" width="12.5703125" style="1" customWidth="1"/>
    <col min="6151" max="6151" width="8.42578125" style="1" bestFit="1" customWidth="1"/>
    <col min="6152" max="6152" width="12.5703125" style="1" customWidth="1"/>
    <col min="6153" max="6155" width="12.140625" style="1" customWidth="1"/>
    <col min="6156" max="6397" width="9.140625" style="1"/>
    <col min="6398" max="6398" width="6.85546875" style="1" customWidth="1"/>
    <col min="6399" max="6399" width="11.140625" style="1" customWidth="1"/>
    <col min="6400" max="6400" width="8.42578125" style="1" bestFit="1" customWidth="1"/>
    <col min="6401" max="6401" width="12.5703125" style="1" customWidth="1"/>
    <col min="6402" max="6402" width="9.85546875" style="1" bestFit="1" customWidth="1"/>
    <col min="6403" max="6403" width="12.5703125" style="1" customWidth="1"/>
    <col min="6404" max="6404" width="11.42578125" style="1" bestFit="1" customWidth="1"/>
    <col min="6405" max="6405" width="8.42578125" style="1" bestFit="1" customWidth="1"/>
    <col min="6406" max="6406" width="12.5703125" style="1" customWidth="1"/>
    <col min="6407" max="6407" width="8.42578125" style="1" bestFit="1" customWidth="1"/>
    <col min="6408" max="6408" width="12.5703125" style="1" customWidth="1"/>
    <col min="6409" max="6411" width="12.140625" style="1" customWidth="1"/>
    <col min="6412" max="6653" width="9.140625" style="1"/>
    <col min="6654" max="6654" width="6.85546875" style="1" customWidth="1"/>
    <col min="6655" max="6655" width="11.140625" style="1" customWidth="1"/>
    <col min="6656" max="6656" width="8.42578125" style="1" bestFit="1" customWidth="1"/>
    <col min="6657" max="6657" width="12.5703125" style="1" customWidth="1"/>
    <col min="6658" max="6658" width="9.85546875" style="1" bestFit="1" customWidth="1"/>
    <col min="6659" max="6659" width="12.5703125" style="1" customWidth="1"/>
    <col min="6660" max="6660" width="11.42578125" style="1" bestFit="1" customWidth="1"/>
    <col min="6661" max="6661" width="8.42578125" style="1" bestFit="1" customWidth="1"/>
    <col min="6662" max="6662" width="12.5703125" style="1" customWidth="1"/>
    <col min="6663" max="6663" width="8.42578125" style="1" bestFit="1" customWidth="1"/>
    <col min="6664" max="6664" width="12.5703125" style="1" customWidth="1"/>
    <col min="6665" max="6667" width="12.140625" style="1" customWidth="1"/>
    <col min="6668" max="6909" width="9.140625" style="1"/>
    <col min="6910" max="6910" width="6.85546875" style="1" customWidth="1"/>
    <col min="6911" max="6911" width="11.140625" style="1" customWidth="1"/>
    <col min="6912" max="6912" width="8.42578125" style="1" bestFit="1" customWidth="1"/>
    <col min="6913" max="6913" width="12.5703125" style="1" customWidth="1"/>
    <col min="6914" max="6914" width="9.85546875" style="1" bestFit="1" customWidth="1"/>
    <col min="6915" max="6915" width="12.5703125" style="1" customWidth="1"/>
    <col min="6916" max="6916" width="11.42578125" style="1" bestFit="1" customWidth="1"/>
    <col min="6917" max="6917" width="8.42578125" style="1" bestFit="1" customWidth="1"/>
    <col min="6918" max="6918" width="12.5703125" style="1" customWidth="1"/>
    <col min="6919" max="6919" width="8.42578125" style="1" bestFit="1" customWidth="1"/>
    <col min="6920" max="6920" width="12.5703125" style="1" customWidth="1"/>
    <col min="6921" max="6923" width="12.140625" style="1" customWidth="1"/>
    <col min="6924" max="7165" width="9.140625" style="1"/>
    <col min="7166" max="7166" width="6.85546875" style="1" customWidth="1"/>
    <col min="7167" max="7167" width="11.140625" style="1" customWidth="1"/>
    <col min="7168" max="7168" width="8.42578125" style="1" bestFit="1" customWidth="1"/>
    <col min="7169" max="7169" width="12.5703125" style="1" customWidth="1"/>
    <col min="7170" max="7170" width="9.85546875" style="1" bestFit="1" customWidth="1"/>
    <col min="7171" max="7171" width="12.5703125" style="1" customWidth="1"/>
    <col min="7172" max="7172" width="11.42578125" style="1" bestFit="1" customWidth="1"/>
    <col min="7173" max="7173" width="8.42578125" style="1" bestFit="1" customWidth="1"/>
    <col min="7174" max="7174" width="12.5703125" style="1" customWidth="1"/>
    <col min="7175" max="7175" width="8.42578125" style="1" bestFit="1" customWidth="1"/>
    <col min="7176" max="7176" width="12.5703125" style="1" customWidth="1"/>
    <col min="7177" max="7179" width="12.140625" style="1" customWidth="1"/>
    <col min="7180" max="7421" width="9.140625" style="1"/>
    <col min="7422" max="7422" width="6.85546875" style="1" customWidth="1"/>
    <col min="7423" max="7423" width="11.140625" style="1" customWidth="1"/>
    <col min="7424" max="7424" width="8.42578125" style="1" bestFit="1" customWidth="1"/>
    <col min="7425" max="7425" width="12.5703125" style="1" customWidth="1"/>
    <col min="7426" max="7426" width="9.85546875" style="1" bestFit="1" customWidth="1"/>
    <col min="7427" max="7427" width="12.5703125" style="1" customWidth="1"/>
    <col min="7428" max="7428" width="11.42578125" style="1" bestFit="1" customWidth="1"/>
    <col min="7429" max="7429" width="8.42578125" style="1" bestFit="1" customWidth="1"/>
    <col min="7430" max="7430" width="12.5703125" style="1" customWidth="1"/>
    <col min="7431" max="7431" width="8.42578125" style="1" bestFit="1" customWidth="1"/>
    <col min="7432" max="7432" width="12.5703125" style="1" customWidth="1"/>
    <col min="7433" max="7435" width="12.140625" style="1" customWidth="1"/>
    <col min="7436" max="7677" width="9.140625" style="1"/>
    <col min="7678" max="7678" width="6.85546875" style="1" customWidth="1"/>
    <col min="7679" max="7679" width="11.140625" style="1" customWidth="1"/>
    <col min="7680" max="7680" width="8.42578125" style="1" bestFit="1" customWidth="1"/>
    <col min="7681" max="7681" width="12.5703125" style="1" customWidth="1"/>
    <col min="7682" max="7682" width="9.85546875" style="1" bestFit="1" customWidth="1"/>
    <col min="7683" max="7683" width="12.5703125" style="1" customWidth="1"/>
    <col min="7684" max="7684" width="11.42578125" style="1" bestFit="1" customWidth="1"/>
    <col min="7685" max="7685" width="8.42578125" style="1" bestFit="1" customWidth="1"/>
    <col min="7686" max="7686" width="12.5703125" style="1" customWidth="1"/>
    <col min="7687" max="7687" width="8.42578125" style="1" bestFit="1" customWidth="1"/>
    <col min="7688" max="7688" width="12.5703125" style="1" customWidth="1"/>
    <col min="7689" max="7691" width="12.140625" style="1" customWidth="1"/>
    <col min="7692" max="7933" width="9.140625" style="1"/>
    <col min="7934" max="7934" width="6.85546875" style="1" customWidth="1"/>
    <col min="7935" max="7935" width="11.140625" style="1" customWidth="1"/>
    <col min="7936" max="7936" width="8.42578125" style="1" bestFit="1" customWidth="1"/>
    <col min="7937" max="7937" width="12.5703125" style="1" customWidth="1"/>
    <col min="7938" max="7938" width="9.85546875" style="1" bestFit="1" customWidth="1"/>
    <col min="7939" max="7939" width="12.5703125" style="1" customWidth="1"/>
    <col min="7940" max="7940" width="11.42578125" style="1" bestFit="1" customWidth="1"/>
    <col min="7941" max="7941" width="8.42578125" style="1" bestFit="1" customWidth="1"/>
    <col min="7942" max="7942" width="12.5703125" style="1" customWidth="1"/>
    <col min="7943" max="7943" width="8.42578125" style="1" bestFit="1" customWidth="1"/>
    <col min="7944" max="7944" width="12.5703125" style="1" customWidth="1"/>
    <col min="7945" max="7947" width="12.140625" style="1" customWidth="1"/>
    <col min="7948" max="8189" width="9.140625" style="1"/>
    <col min="8190" max="8190" width="6.85546875" style="1" customWidth="1"/>
    <col min="8191" max="8191" width="11.140625" style="1" customWidth="1"/>
    <col min="8192" max="8192" width="8.42578125" style="1" bestFit="1" customWidth="1"/>
    <col min="8193" max="8193" width="12.5703125" style="1" customWidth="1"/>
    <col min="8194" max="8194" width="9.85546875" style="1" bestFit="1" customWidth="1"/>
    <col min="8195" max="8195" width="12.5703125" style="1" customWidth="1"/>
    <col min="8196" max="8196" width="11.42578125" style="1" bestFit="1" customWidth="1"/>
    <col min="8197" max="8197" width="8.42578125" style="1" bestFit="1" customWidth="1"/>
    <col min="8198" max="8198" width="12.5703125" style="1" customWidth="1"/>
    <col min="8199" max="8199" width="8.42578125" style="1" bestFit="1" customWidth="1"/>
    <col min="8200" max="8200" width="12.5703125" style="1" customWidth="1"/>
    <col min="8201" max="8203" width="12.140625" style="1" customWidth="1"/>
    <col min="8204" max="8445" width="9.140625" style="1"/>
    <col min="8446" max="8446" width="6.85546875" style="1" customWidth="1"/>
    <col min="8447" max="8447" width="11.140625" style="1" customWidth="1"/>
    <col min="8448" max="8448" width="8.42578125" style="1" bestFit="1" customWidth="1"/>
    <col min="8449" max="8449" width="12.5703125" style="1" customWidth="1"/>
    <col min="8450" max="8450" width="9.85546875" style="1" bestFit="1" customWidth="1"/>
    <col min="8451" max="8451" width="12.5703125" style="1" customWidth="1"/>
    <col min="8452" max="8452" width="11.42578125" style="1" bestFit="1" customWidth="1"/>
    <col min="8453" max="8453" width="8.42578125" style="1" bestFit="1" customWidth="1"/>
    <col min="8454" max="8454" width="12.5703125" style="1" customWidth="1"/>
    <col min="8455" max="8455" width="8.42578125" style="1" bestFit="1" customWidth="1"/>
    <col min="8456" max="8456" width="12.5703125" style="1" customWidth="1"/>
    <col min="8457" max="8459" width="12.140625" style="1" customWidth="1"/>
    <col min="8460" max="8701" width="9.140625" style="1"/>
    <col min="8702" max="8702" width="6.85546875" style="1" customWidth="1"/>
    <col min="8703" max="8703" width="11.140625" style="1" customWidth="1"/>
    <col min="8704" max="8704" width="8.42578125" style="1" bestFit="1" customWidth="1"/>
    <col min="8705" max="8705" width="12.5703125" style="1" customWidth="1"/>
    <col min="8706" max="8706" width="9.85546875" style="1" bestFit="1" customWidth="1"/>
    <col min="8707" max="8707" width="12.5703125" style="1" customWidth="1"/>
    <col min="8708" max="8708" width="11.42578125" style="1" bestFit="1" customWidth="1"/>
    <col min="8709" max="8709" width="8.42578125" style="1" bestFit="1" customWidth="1"/>
    <col min="8710" max="8710" width="12.5703125" style="1" customWidth="1"/>
    <col min="8711" max="8711" width="8.42578125" style="1" bestFit="1" customWidth="1"/>
    <col min="8712" max="8712" width="12.5703125" style="1" customWidth="1"/>
    <col min="8713" max="8715" width="12.140625" style="1" customWidth="1"/>
    <col min="8716" max="8957" width="9.140625" style="1"/>
    <col min="8958" max="8958" width="6.85546875" style="1" customWidth="1"/>
    <col min="8959" max="8959" width="11.140625" style="1" customWidth="1"/>
    <col min="8960" max="8960" width="8.42578125" style="1" bestFit="1" customWidth="1"/>
    <col min="8961" max="8961" width="12.5703125" style="1" customWidth="1"/>
    <col min="8962" max="8962" width="9.85546875" style="1" bestFit="1" customWidth="1"/>
    <col min="8963" max="8963" width="12.5703125" style="1" customWidth="1"/>
    <col min="8964" max="8964" width="11.42578125" style="1" bestFit="1" customWidth="1"/>
    <col min="8965" max="8965" width="8.42578125" style="1" bestFit="1" customWidth="1"/>
    <col min="8966" max="8966" width="12.5703125" style="1" customWidth="1"/>
    <col min="8967" max="8967" width="8.42578125" style="1" bestFit="1" customWidth="1"/>
    <col min="8968" max="8968" width="12.5703125" style="1" customWidth="1"/>
    <col min="8969" max="8971" width="12.140625" style="1" customWidth="1"/>
    <col min="8972" max="9213" width="9.140625" style="1"/>
    <col min="9214" max="9214" width="6.85546875" style="1" customWidth="1"/>
    <col min="9215" max="9215" width="11.140625" style="1" customWidth="1"/>
    <col min="9216" max="9216" width="8.42578125" style="1" bestFit="1" customWidth="1"/>
    <col min="9217" max="9217" width="12.5703125" style="1" customWidth="1"/>
    <col min="9218" max="9218" width="9.85546875" style="1" bestFit="1" customWidth="1"/>
    <col min="9219" max="9219" width="12.5703125" style="1" customWidth="1"/>
    <col min="9220" max="9220" width="11.42578125" style="1" bestFit="1" customWidth="1"/>
    <col min="9221" max="9221" width="8.42578125" style="1" bestFit="1" customWidth="1"/>
    <col min="9222" max="9222" width="12.5703125" style="1" customWidth="1"/>
    <col min="9223" max="9223" width="8.42578125" style="1" bestFit="1" customWidth="1"/>
    <col min="9224" max="9224" width="12.5703125" style="1" customWidth="1"/>
    <col min="9225" max="9227" width="12.140625" style="1" customWidth="1"/>
    <col min="9228" max="9469" width="9.140625" style="1"/>
    <col min="9470" max="9470" width="6.85546875" style="1" customWidth="1"/>
    <col min="9471" max="9471" width="11.140625" style="1" customWidth="1"/>
    <col min="9472" max="9472" width="8.42578125" style="1" bestFit="1" customWidth="1"/>
    <col min="9473" max="9473" width="12.5703125" style="1" customWidth="1"/>
    <col min="9474" max="9474" width="9.85546875" style="1" bestFit="1" customWidth="1"/>
    <col min="9475" max="9475" width="12.5703125" style="1" customWidth="1"/>
    <col min="9476" max="9476" width="11.42578125" style="1" bestFit="1" customWidth="1"/>
    <col min="9477" max="9477" width="8.42578125" style="1" bestFit="1" customWidth="1"/>
    <col min="9478" max="9478" width="12.5703125" style="1" customWidth="1"/>
    <col min="9479" max="9479" width="8.42578125" style="1" bestFit="1" customWidth="1"/>
    <col min="9480" max="9480" width="12.5703125" style="1" customWidth="1"/>
    <col min="9481" max="9483" width="12.140625" style="1" customWidth="1"/>
    <col min="9484" max="9725" width="9.140625" style="1"/>
    <col min="9726" max="9726" width="6.85546875" style="1" customWidth="1"/>
    <col min="9727" max="9727" width="11.140625" style="1" customWidth="1"/>
    <col min="9728" max="9728" width="8.42578125" style="1" bestFit="1" customWidth="1"/>
    <col min="9729" max="9729" width="12.5703125" style="1" customWidth="1"/>
    <col min="9730" max="9730" width="9.85546875" style="1" bestFit="1" customWidth="1"/>
    <col min="9731" max="9731" width="12.5703125" style="1" customWidth="1"/>
    <col min="9732" max="9732" width="11.42578125" style="1" bestFit="1" customWidth="1"/>
    <col min="9733" max="9733" width="8.42578125" style="1" bestFit="1" customWidth="1"/>
    <col min="9734" max="9734" width="12.5703125" style="1" customWidth="1"/>
    <col min="9735" max="9735" width="8.42578125" style="1" bestFit="1" customWidth="1"/>
    <col min="9736" max="9736" width="12.5703125" style="1" customWidth="1"/>
    <col min="9737" max="9739" width="12.140625" style="1" customWidth="1"/>
    <col min="9740" max="9981" width="9.140625" style="1"/>
    <col min="9982" max="9982" width="6.85546875" style="1" customWidth="1"/>
    <col min="9983" max="9983" width="11.140625" style="1" customWidth="1"/>
    <col min="9984" max="9984" width="8.42578125" style="1" bestFit="1" customWidth="1"/>
    <col min="9985" max="9985" width="12.5703125" style="1" customWidth="1"/>
    <col min="9986" max="9986" width="9.85546875" style="1" bestFit="1" customWidth="1"/>
    <col min="9987" max="9987" width="12.5703125" style="1" customWidth="1"/>
    <col min="9988" max="9988" width="11.42578125" style="1" bestFit="1" customWidth="1"/>
    <col min="9989" max="9989" width="8.42578125" style="1" bestFit="1" customWidth="1"/>
    <col min="9990" max="9990" width="12.5703125" style="1" customWidth="1"/>
    <col min="9991" max="9991" width="8.42578125" style="1" bestFit="1" customWidth="1"/>
    <col min="9992" max="9992" width="12.5703125" style="1" customWidth="1"/>
    <col min="9993" max="9995" width="12.140625" style="1" customWidth="1"/>
    <col min="9996" max="10237" width="9.140625" style="1"/>
    <col min="10238" max="10238" width="6.85546875" style="1" customWidth="1"/>
    <col min="10239" max="10239" width="11.140625" style="1" customWidth="1"/>
    <col min="10240" max="10240" width="8.42578125" style="1" bestFit="1" customWidth="1"/>
    <col min="10241" max="10241" width="12.5703125" style="1" customWidth="1"/>
    <col min="10242" max="10242" width="9.85546875" style="1" bestFit="1" customWidth="1"/>
    <col min="10243" max="10243" width="12.5703125" style="1" customWidth="1"/>
    <col min="10244" max="10244" width="11.42578125" style="1" bestFit="1" customWidth="1"/>
    <col min="10245" max="10245" width="8.42578125" style="1" bestFit="1" customWidth="1"/>
    <col min="10246" max="10246" width="12.5703125" style="1" customWidth="1"/>
    <col min="10247" max="10247" width="8.42578125" style="1" bestFit="1" customWidth="1"/>
    <col min="10248" max="10248" width="12.5703125" style="1" customWidth="1"/>
    <col min="10249" max="10251" width="12.140625" style="1" customWidth="1"/>
    <col min="10252" max="10493" width="9.140625" style="1"/>
    <col min="10494" max="10494" width="6.85546875" style="1" customWidth="1"/>
    <col min="10495" max="10495" width="11.140625" style="1" customWidth="1"/>
    <col min="10496" max="10496" width="8.42578125" style="1" bestFit="1" customWidth="1"/>
    <col min="10497" max="10497" width="12.5703125" style="1" customWidth="1"/>
    <col min="10498" max="10498" width="9.85546875" style="1" bestFit="1" customWidth="1"/>
    <col min="10499" max="10499" width="12.5703125" style="1" customWidth="1"/>
    <col min="10500" max="10500" width="11.42578125" style="1" bestFit="1" customWidth="1"/>
    <col min="10501" max="10501" width="8.42578125" style="1" bestFit="1" customWidth="1"/>
    <col min="10502" max="10502" width="12.5703125" style="1" customWidth="1"/>
    <col min="10503" max="10503" width="8.42578125" style="1" bestFit="1" customWidth="1"/>
    <col min="10504" max="10504" width="12.5703125" style="1" customWidth="1"/>
    <col min="10505" max="10507" width="12.140625" style="1" customWidth="1"/>
    <col min="10508" max="10749" width="9.140625" style="1"/>
    <col min="10750" max="10750" width="6.85546875" style="1" customWidth="1"/>
    <col min="10751" max="10751" width="11.140625" style="1" customWidth="1"/>
    <col min="10752" max="10752" width="8.42578125" style="1" bestFit="1" customWidth="1"/>
    <col min="10753" max="10753" width="12.5703125" style="1" customWidth="1"/>
    <col min="10754" max="10754" width="9.85546875" style="1" bestFit="1" customWidth="1"/>
    <col min="10755" max="10755" width="12.5703125" style="1" customWidth="1"/>
    <col min="10756" max="10756" width="11.42578125" style="1" bestFit="1" customWidth="1"/>
    <col min="10757" max="10757" width="8.42578125" style="1" bestFit="1" customWidth="1"/>
    <col min="10758" max="10758" width="12.5703125" style="1" customWidth="1"/>
    <col min="10759" max="10759" width="8.42578125" style="1" bestFit="1" customWidth="1"/>
    <col min="10760" max="10760" width="12.5703125" style="1" customWidth="1"/>
    <col min="10761" max="10763" width="12.140625" style="1" customWidth="1"/>
    <col min="10764" max="11005" width="9.140625" style="1"/>
    <col min="11006" max="11006" width="6.85546875" style="1" customWidth="1"/>
    <col min="11007" max="11007" width="11.140625" style="1" customWidth="1"/>
    <col min="11008" max="11008" width="8.42578125" style="1" bestFit="1" customWidth="1"/>
    <col min="11009" max="11009" width="12.5703125" style="1" customWidth="1"/>
    <col min="11010" max="11010" width="9.85546875" style="1" bestFit="1" customWidth="1"/>
    <col min="11011" max="11011" width="12.5703125" style="1" customWidth="1"/>
    <col min="11012" max="11012" width="11.42578125" style="1" bestFit="1" customWidth="1"/>
    <col min="11013" max="11013" width="8.42578125" style="1" bestFit="1" customWidth="1"/>
    <col min="11014" max="11014" width="12.5703125" style="1" customWidth="1"/>
    <col min="11015" max="11015" width="8.42578125" style="1" bestFit="1" customWidth="1"/>
    <col min="11016" max="11016" width="12.5703125" style="1" customWidth="1"/>
    <col min="11017" max="11019" width="12.140625" style="1" customWidth="1"/>
    <col min="11020" max="11261" width="9.140625" style="1"/>
    <col min="11262" max="11262" width="6.85546875" style="1" customWidth="1"/>
    <col min="11263" max="11263" width="11.140625" style="1" customWidth="1"/>
    <col min="11264" max="11264" width="8.42578125" style="1" bestFit="1" customWidth="1"/>
    <col min="11265" max="11265" width="12.5703125" style="1" customWidth="1"/>
    <col min="11266" max="11266" width="9.85546875" style="1" bestFit="1" customWidth="1"/>
    <col min="11267" max="11267" width="12.5703125" style="1" customWidth="1"/>
    <col min="11268" max="11268" width="11.42578125" style="1" bestFit="1" customWidth="1"/>
    <col min="11269" max="11269" width="8.42578125" style="1" bestFit="1" customWidth="1"/>
    <col min="11270" max="11270" width="12.5703125" style="1" customWidth="1"/>
    <col min="11271" max="11271" width="8.42578125" style="1" bestFit="1" customWidth="1"/>
    <col min="11272" max="11272" width="12.5703125" style="1" customWidth="1"/>
    <col min="11273" max="11275" width="12.140625" style="1" customWidth="1"/>
    <col min="11276" max="11517" width="9.140625" style="1"/>
    <col min="11518" max="11518" width="6.85546875" style="1" customWidth="1"/>
    <col min="11519" max="11519" width="11.140625" style="1" customWidth="1"/>
    <col min="11520" max="11520" width="8.42578125" style="1" bestFit="1" customWidth="1"/>
    <col min="11521" max="11521" width="12.5703125" style="1" customWidth="1"/>
    <col min="11522" max="11522" width="9.85546875" style="1" bestFit="1" customWidth="1"/>
    <col min="11523" max="11523" width="12.5703125" style="1" customWidth="1"/>
    <col min="11524" max="11524" width="11.42578125" style="1" bestFit="1" customWidth="1"/>
    <col min="11525" max="11525" width="8.42578125" style="1" bestFit="1" customWidth="1"/>
    <col min="11526" max="11526" width="12.5703125" style="1" customWidth="1"/>
    <col min="11527" max="11527" width="8.42578125" style="1" bestFit="1" customWidth="1"/>
    <col min="11528" max="11528" width="12.5703125" style="1" customWidth="1"/>
    <col min="11529" max="11531" width="12.140625" style="1" customWidth="1"/>
    <col min="11532" max="11773" width="9.140625" style="1"/>
    <col min="11774" max="11774" width="6.85546875" style="1" customWidth="1"/>
    <col min="11775" max="11775" width="11.140625" style="1" customWidth="1"/>
    <col min="11776" max="11776" width="8.42578125" style="1" bestFit="1" customWidth="1"/>
    <col min="11777" max="11777" width="12.5703125" style="1" customWidth="1"/>
    <col min="11778" max="11778" width="9.85546875" style="1" bestFit="1" customWidth="1"/>
    <col min="11779" max="11779" width="12.5703125" style="1" customWidth="1"/>
    <col min="11780" max="11780" width="11.42578125" style="1" bestFit="1" customWidth="1"/>
    <col min="11781" max="11781" width="8.42578125" style="1" bestFit="1" customWidth="1"/>
    <col min="11782" max="11782" width="12.5703125" style="1" customWidth="1"/>
    <col min="11783" max="11783" width="8.42578125" style="1" bestFit="1" customWidth="1"/>
    <col min="11784" max="11784" width="12.5703125" style="1" customWidth="1"/>
    <col min="11785" max="11787" width="12.140625" style="1" customWidth="1"/>
    <col min="11788" max="12029" width="9.140625" style="1"/>
    <col min="12030" max="12030" width="6.85546875" style="1" customWidth="1"/>
    <col min="12031" max="12031" width="11.140625" style="1" customWidth="1"/>
    <col min="12032" max="12032" width="8.42578125" style="1" bestFit="1" customWidth="1"/>
    <col min="12033" max="12033" width="12.5703125" style="1" customWidth="1"/>
    <col min="12034" max="12034" width="9.85546875" style="1" bestFit="1" customWidth="1"/>
    <col min="12035" max="12035" width="12.5703125" style="1" customWidth="1"/>
    <col min="12036" max="12036" width="11.42578125" style="1" bestFit="1" customWidth="1"/>
    <col min="12037" max="12037" width="8.42578125" style="1" bestFit="1" customWidth="1"/>
    <col min="12038" max="12038" width="12.5703125" style="1" customWidth="1"/>
    <col min="12039" max="12039" width="8.42578125" style="1" bestFit="1" customWidth="1"/>
    <col min="12040" max="12040" width="12.5703125" style="1" customWidth="1"/>
    <col min="12041" max="12043" width="12.140625" style="1" customWidth="1"/>
    <col min="12044" max="12285" width="9.140625" style="1"/>
    <col min="12286" max="12286" width="6.85546875" style="1" customWidth="1"/>
    <col min="12287" max="12287" width="11.140625" style="1" customWidth="1"/>
    <col min="12288" max="12288" width="8.42578125" style="1" bestFit="1" customWidth="1"/>
    <col min="12289" max="12289" width="12.5703125" style="1" customWidth="1"/>
    <col min="12290" max="12290" width="9.85546875" style="1" bestFit="1" customWidth="1"/>
    <col min="12291" max="12291" width="12.5703125" style="1" customWidth="1"/>
    <col min="12292" max="12292" width="11.42578125" style="1" bestFit="1" customWidth="1"/>
    <col min="12293" max="12293" width="8.42578125" style="1" bestFit="1" customWidth="1"/>
    <col min="12294" max="12294" width="12.5703125" style="1" customWidth="1"/>
    <col min="12295" max="12295" width="8.42578125" style="1" bestFit="1" customWidth="1"/>
    <col min="12296" max="12296" width="12.5703125" style="1" customWidth="1"/>
    <col min="12297" max="12299" width="12.140625" style="1" customWidth="1"/>
    <col min="12300" max="12541" width="9.140625" style="1"/>
    <col min="12542" max="12542" width="6.85546875" style="1" customWidth="1"/>
    <col min="12543" max="12543" width="11.140625" style="1" customWidth="1"/>
    <col min="12544" max="12544" width="8.42578125" style="1" bestFit="1" customWidth="1"/>
    <col min="12545" max="12545" width="12.5703125" style="1" customWidth="1"/>
    <col min="12546" max="12546" width="9.85546875" style="1" bestFit="1" customWidth="1"/>
    <col min="12547" max="12547" width="12.5703125" style="1" customWidth="1"/>
    <col min="12548" max="12548" width="11.42578125" style="1" bestFit="1" customWidth="1"/>
    <col min="12549" max="12549" width="8.42578125" style="1" bestFit="1" customWidth="1"/>
    <col min="12550" max="12550" width="12.5703125" style="1" customWidth="1"/>
    <col min="12551" max="12551" width="8.42578125" style="1" bestFit="1" customWidth="1"/>
    <col min="12552" max="12552" width="12.5703125" style="1" customWidth="1"/>
    <col min="12553" max="12555" width="12.140625" style="1" customWidth="1"/>
    <col min="12556" max="12797" width="9.140625" style="1"/>
    <col min="12798" max="12798" width="6.85546875" style="1" customWidth="1"/>
    <col min="12799" max="12799" width="11.140625" style="1" customWidth="1"/>
    <col min="12800" max="12800" width="8.42578125" style="1" bestFit="1" customWidth="1"/>
    <col min="12801" max="12801" width="12.5703125" style="1" customWidth="1"/>
    <col min="12802" max="12802" width="9.85546875" style="1" bestFit="1" customWidth="1"/>
    <col min="12803" max="12803" width="12.5703125" style="1" customWidth="1"/>
    <col min="12804" max="12804" width="11.42578125" style="1" bestFit="1" customWidth="1"/>
    <col min="12805" max="12805" width="8.42578125" style="1" bestFit="1" customWidth="1"/>
    <col min="12806" max="12806" width="12.5703125" style="1" customWidth="1"/>
    <col min="12807" max="12807" width="8.42578125" style="1" bestFit="1" customWidth="1"/>
    <col min="12808" max="12808" width="12.5703125" style="1" customWidth="1"/>
    <col min="12809" max="12811" width="12.140625" style="1" customWidth="1"/>
    <col min="12812" max="13053" width="9.140625" style="1"/>
    <col min="13054" max="13054" width="6.85546875" style="1" customWidth="1"/>
    <col min="13055" max="13055" width="11.140625" style="1" customWidth="1"/>
    <col min="13056" max="13056" width="8.42578125" style="1" bestFit="1" customWidth="1"/>
    <col min="13057" max="13057" width="12.5703125" style="1" customWidth="1"/>
    <col min="13058" max="13058" width="9.85546875" style="1" bestFit="1" customWidth="1"/>
    <col min="13059" max="13059" width="12.5703125" style="1" customWidth="1"/>
    <col min="13060" max="13060" width="11.42578125" style="1" bestFit="1" customWidth="1"/>
    <col min="13061" max="13061" width="8.42578125" style="1" bestFit="1" customWidth="1"/>
    <col min="13062" max="13062" width="12.5703125" style="1" customWidth="1"/>
    <col min="13063" max="13063" width="8.42578125" style="1" bestFit="1" customWidth="1"/>
    <col min="13064" max="13064" width="12.5703125" style="1" customWidth="1"/>
    <col min="13065" max="13067" width="12.140625" style="1" customWidth="1"/>
    <col min="13068" max="13309" width="9.140625" style="1"/>
    <col min="13310" max="13310" width="6.85546875" style="1" customWidth="1"/>
    <col min="13311" max="13311" width="11.140625" style="1" customWidth="1"/>
    <col min="13312" max="13312" width="8.42578125" style="1" bestFit="1" customWidth="1"/>
    <col min="13313" max="13313" width="12.5703125" style="1" customWidth="1"/>
    <col min="13314" max="13314" width="9.85546875" style="1" bestFit="1" customWidth="1"/>
    <col min="13315" max="13315" width="12.5703125" style="1" customWidth="1"/>
    <col min="13316" max="13316" width="11.42578125" style="1" bestFit="1" customWidth="1"/>
    <col min="13317" max="13317" width="8.42578125" style="1" bestFit="1" customWidth="1"/>
    <col min="13318" max="13318" width="12.5703125" style="1" customWidth="1"/>
    <col min="13319" max="13319" width="8.42578125" style="1" bestFit="1" customWidth="1"/>
    <col min="13320" max="13320" width="12.5703125" style="1" customWidth="1"/>
    <col min="13321" max="13323" width="12.140625" style="1" customWidth="1"/>
    <col min="13324" max="13565" width="9.140625" style="1"/>
    <col min="13566" max="13566" width="6.85546875" style="1" customWidth="1"/>
    <col min="13567" max="13567" width="11.140625" style="1" customWidth="1"/>
    <col min="13568" max="13568" width="8.42578125" style="1" bestFit="1" customWidth="1"/>
    <col min="13569" max="13569" width="12.5703125" style="1" customWidth="1"/>
    <col min="13570" max="13570" width="9.85546875" style="1" bestFit="1" customWidth="1"/>
    <col min="13571" max="13571" width="12.5703125" style="1" customWidth="1"/>
    <col min="13572" max="13572" width="11.42578125" style="1" bestFit="1" customWidth="1"/>
    <col min="13573" max="13573" width="8.42578125" style="1" bestFit="1" customWidth="1"/>
    <col min="13574" max="13574" width="12.5703125" style="1" customWidth="1"/>
    <col min="13575" max="13575" width="8.42578125" style="1" bestFit="1" customWidth="1"/>
    <col min="13576" max="13576" width="12.5703125" style="1" customWidth="1"/>
    <col min="13577" max="13579" width="12.140625" style="1" customWidth="1"/>
    <col min="13580" max="13821" width="9.140625" style="1"/>
    <col min="13822" max="13822" width="6.85546875" style="1" customWidth="1"/>
    <col min="13823" max="13823" width="11.140625" style="1" customWidth="1"/>
    <col min="13824" max="13824" width="8.42578125" style="1" bestFit="1" customWidth="1"/>
    <col min="13825" max="13825" width="12.5703125" style="1" customWidth="1"/>
    <col min="13826" max="13826" width="9.85546875" style="1" bestFit="1" customWidth="1"/>
    <col min="13827" max="13827" width="12.5703125" style="1" customWidth="1"/>
    <col min="13828" max="13828" width="11.42578125" style="1" bestFit="1" customWidth="1"/>
    <col min="13829" max="13829" width="8.42578125" style="1" bestFit="1" customWidth="1"/>
    <col min="13830" max="13830" width="12.5703125" style="1" customWidth="1"/>
    <col min="13831" max="13831" width="8.42578125" style="1" bestFit="1" customWidth="1"/>
    <col min="13832" max="13832" width="12.5703125" style="1" customWidth="1"/>
    <col min="13833" max="13835" width="12.140625" style="1" customWidth="1"/>
    <col min="13836" max="14077" width="9.140625" style="1"/>
    <col min="14078" max="14078" width="6.85546875" style="1" customWidth="1"/>
    <col min="14079" max="14079" width="11.140625" style="1" customWidth="1"/>
    <col min="14080" max="14080" width="8.42578125" style="1" bestFit="1" customWidth="1"/>
    <col min="14081" max="14081" width="12.5703125" style="1" customWidth="1"/>
    <col min="14082" max="14082" width="9.85546875" style="1" bestFit="1" customWidth="1"/>
    <col min="14083" max="14083" width="12.5703125" style="1" customWidth="1"/>
    <col min="14084" max="14084" width="11.42578125" style="1" bestFit="1" customWidth="1"/>
    <col min="14085" max="14085" width="8.42578125" style="1" bestFit="1" customWidth="1"/>
    <col min="14086" max="14086" width="12.5703125" style="1" customWidth="1"/>
    <col min="14087" max="14087" width="8.42578125" style="1" bestFit="1" customWidth="1"/>
    <col min="14088" max="14088" width="12.5703125" style="1" customWidth="1"/>
    <col min="14089" max="14091" width="12.140625" style="1" customWidth="1"/>
    <col min="14092" max="14333" width="9.140625" style="1"/>
    <col min="14334" max="14334" width="6.85546875" style="1" customWidth="1"/>
    <col min="14335" max="14335" width="11.140625" style="1" customWidth="1"/>
    <col min="14336" max="14336" width="8.42578125" style="1" bestFit="1" customWidth="1"/>
    <col min="14337" max="14337" width="12.5703125" style="1" customWidth="1"/>
    <col min="14338" max="14338" width="9.85546875" style="1" bestFit="1" customWidth="1"/>
    <col min="14339" max="14339" width="12.5703125" style="1" customWidth="1"/>
    <col min="14340" max="14340" width="11.42578125" style="1" bestFit="1" customWidth="1"/>
    <col min="14341" max="14341" width="8.42578125" style="1" bestFit="1" customWidth="1"/>
    <col min="14342" max="14342" width="12.5703125" style="1" customWidth="1"/>
    <col min="14343" max="14343" width="8.42578125" style="1" bestFit="1" customWidth="1"/>
    <col min="14344" max="14344" width="12.5703125" style="1" customWidth="1"/>
    <col min="14345" max="14347" width="12.140625" style="1" customWidth="1"/>
    <col min="14348" max="14589" width="9.140625" style="1"/>
    <col min="14590" max="14590" width="6.85546875" style="1" customWidth="1"/>
    <col min="14591" max="14591" width="11.140625" style="1" customWidth="1"/>
    <col min="14592" max="14592" width="8.42578125" style="1" bestFit="1" customWidth="1"/>
    <col min="14593" max="14593" width="12.5703125" style="1" customWidth="1"/>
    <col min="14594" max="14594" width="9.85546875" style="1" bestFit="1" customWidth="1"/>
    <col min="14595" max="14595" width="12.5703125" style="1" customWidth="1"/>
    <col min="14596" max="14596" width="11.42578125" style="1" bestFit="1" customWidth="1"/>
    <col min="14597" max="14597" width="8.42578125" style="1" bestFit="1" customWidth="1"/>
    <col min="14598" max="14598" width="12.5703125" style="1" customWidth="1"/>
    <col min="14599" max="14599" width="8.42578125" style="1" bestFit="1" customWidth="1"/>
    <col min="14600" max="14600" width="12.5703125" style="1" customWidth="1"/>
    <col min="14601" max="14603" width="12.140625" style="1" customWidth="1"/>
    <col min="14604" max="14845" width="9.140625" style="1"/>
    <col min="14846" max="14846" width="6.85546875" style="1" customWidth="1"/>
    <col min="14847" max="14847" width="11.140625" style="1" customWidth="1"/>
    <col min="14848" max="14848" width="8.42578125" style="1" bestFit="1" customWidth="1"/>
    <col min="14849" max="14849" width="12.5703125" style="1" customWidth="1"/>
    <col min="14850" max="14850" width="9.85546875" style="1" bestFit="1" customWidth="1"/>
    <col min="14851" max="14851" width="12.5703125" style="1" customWidth="1"/>
    <col min="14852" max="14852" width="11.42578125" style="1" bestFit="1" customWidth="1"/>
    <col min="14853" max="14853" width="8.42578125" style="1" bestFit="1" customWidth="1"/>
    <col min="14854" max="14854" width="12.5703125" style="1" customWidth="1"/>
    <col min="14855" max="14855" width="8.42578125" style="1" bestFit="1" customWidth="1"/>
    <col min="14856" max="14856" width="12.5703125" style="1" customWidth="1"/>
    <col min="14857" max="14859" width="12.140625" style="1" customWidth="1"/>
    <col min="14860" max="15101" width="9.140625" style="1"/>
    <col min="15102" max="15102" width="6.85546875" style="1" customWidth="1"/>
    <col min="15103" max="15103" width="11.140625" style="1" customWidth="1"/>
    <col min="15104" max="15104" width="8.42578125" style="1" bestFit="1" customWidth="1"/>
    <col min="15105" max="15105" width="12.5703125" style="1" customWidth="1"/>
    <col min="15106" max="15106" width="9.85546875" style="1" bestFit="1" customWidth="1"/>
    <col min="15107" max="15107" width="12.5703125" style="1" customWidth="1"/>
    <col min="15108" max="15108" width="11.42578125" style="1" bestFit="1" customWidth="1"/>
    <col min="15109" max="15109" width="8.42578125" style="1" bestFit="1" customWidth="1"/>
    <col min="15110" max="15110" width="12.5703125" style="1" customWidth="1"/>
    <col min="15111" max="15111" width="8.42578125" style="1" bestFit="1" customWidth="1"/>
    <col min="15112" max="15112" width="12.5703125" style="1" customWidth="1"/>
    <col min="15113" max="15115" width="12.140625" style="1" customWidth="1"/>
    <col min="15116" max="15357" width="9.140625" style="1"/>
    <col min="15358" max="15358" width="6.85546875" style="1" customWidth="1"/>
    <col min="15359" max="15359" width="11.140625" style="1" customWidth="1"/>
    <col min="15360" max="15360" width="8.42578125" style="1" bestFit="1" customWidth="1"/>
    <col min="15361" max="15361" width="12.5703125" style="1" customWidth="1"/>
    <col min="15362" max="15362" width="9.85546875" style="1" bestFit="1" customWidth="1"/>
    <col min="15363" max="15363" width="12.5703125" style="1" customWidth="1"/>
    <col min="15364" max="15364" width="11.42578125" style="1" bestFit="1" customWidth="1"/>
    <col min="15365" max="15365" width="8.42578125" style="1" bestFit="1" customWidth="1"/>
    <col min="15366" max="15366" width="12.5703125" style="1" customWidth="1"/>
    <col min="15367" max="15367" width="8.42578125" style="1" bestFit="1" customWidth="1"/>
    <col min="15368" max="15368" width="12.5703125" style="1" customWidth="1"/>
    <col min="15369" max="15371" width="12.140625" style="1" customWidth="1"/>
    <col min="15372" max="15613" width="9.140625" style="1"/>
    <col min="15614" max="15614" width="6.85546875" style="1" customWidth="1"/>
    <col min="15615" max="15615" width="11.140625" style="1" customWidth="1"/>
    <col min="15616" max="15616" width="8.42578125" style="1" bestFit="1" customWidth="1"/>
    <col min="15617" max="15617" width="12.5703125" style="1" customWidth="1"/>
    <col min="15618" max="15618" width="9.85546875" style="1" bestFit="1" customWidth="1"/>
    <col min="15619" max="15619" width="12.5703125" style="1" customWidth="1"/>
    <col min="15620" max="15620" width="11.42578125" style="1" bestFit="1" customWidth="1"/>
    <col min="15621" max="15621" width="8.42578125" style="1" bestFit="1" customWidth="1"/>
    <col min="15622" max="15622" width="12.5703125" style="1" customWidth="1"/>
    <col min="15623" max="15623" width="8.42578125" style="1" bestFit="1" customWidth="1"/>
    <col min="15624" max="15624" width="12.5703125" style="1" customWidth="1"/>
    <col min="15625" max="15627" width="12.140625" style="1" customWidth="1"/>
    <col min="15628" max="15869" width="9.140625" style="1"/>
    <col min="15870" max="15870" width="6.85546875" style="1" customWidth="1"/>
    <col min="15871" max="15871" width="11.140625" style="1" customWidth="1"/>
    <col min="15872" max="15872" width="8.42578125" style="1" bestFit="1" customWidth="1"/>
    <col min="15873" max="15873" width="12.5703125" style="1" customWidth="1"/>
    <col min="15874" max="15874" width="9.85546875" style="1" bestFit="1" customWidth="1"/>
    <col min="15875" max="15875" width="12.5703125" style="1" customWidth="1"/>
    <col min="15876" max="15876" width="11.42578125" style="1" bestFit="1" customWidth="1"/>
    <col min="15877" max="15877" width="8.42578125" style="1" bestFit="1" customWidth="1"/>
    <col min="15878" max="15878" width="12.5703125" style="1" customWidth="1"/>
    <col min="15879" max="15879" width="8.42578125" style="1" bestFit="1" customWidth="1"/>
    <col min="15880" max="15880" width="12.5703125" style="1" customWidth="1"/>
    <col min="15881" max="15883" width="12.140625" style="1" customWidth="1"/>
    <col min="15884" max="16125" width="9.140625" style="1"/>
    <col min="16126" max="16126" width="6.85546875" style="1" customWidth="1"/>
    <col min="16127" max="16127" width="11.140625" style="1" customWidth="1"/>
    <col min="16128" max="16128" width="8.42578125" style="1" bestFit="1" customWidth="1"/>
    <col min="16129" max="16129" width="12.5703125" style="1" customWidth="1"/>
    <col min="16130" max="16130" width="9.85546875" style="1" bestFit="1" customWidth="1"/>
    <col min="16131" max="16131" width="12.5703125" style="1" customWidth="1"/>
    <col min="16132" max="16132" width="11.42578125" style="1" bestFit="1" customWidth="1"/>
    <col min="16133" max="16133" width="8.42578125" style="1" bestFit="1" customWidth="1"/>
    <col min="16134" max="16134" width="12.5703125" style="1" customWidth="1"/>
    <col min="16135" max="16135" width="8.42578125" style="1" bestFit="1" customWidth="1"/>
    <col min="16136" max="16136" width="12.5703125" style="1" customWidth="1"/>
    <col min="16137" max="16139" width="12.140625" style="1" customWidth="1"/>
    <col min="16140" max="16384" width="9.140625" style="1"/>
  </cols>
  <sheetData>
    <row r="1" spans="1:17" ht="15.75" customHeight="1">
      <c r="P1" s="1444" t="s">
        <v>737</v>
      </c>
      <c r="Q1" s="1445"/>
    </row>
    <row r="2" spans="1:17" ht="44.25" customHeight="1">
      <c r="A2" s="1446" t="s">
        <v>1618</v>
      </c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446"/>
      <c r="O2" s="1446"/>
      <c r="P2" s="1446"/>
      <c r="Q2" s="1446"/>
    </row>
    <row r="3" spans="1:17" ht="10.5" customHeight="1">
      <c r="A3" s="1413"/>
      <c r="B3" s="1413"/>
      <c r="C3" s="1413"/>
      <c r="D3" s="1413"/>
      <c r="E3" s="1413"/>
      <c r="F3" s="1413"/>
      <c r="G3" s="1413"/>
      <c r="H3" s="1413"/>
      <c r="I3" s="1413"/>
      <c r="J3" s="1413"/>
      <c r="K3" s="1413"/>
      <c r="L3" s="1413"/>
    </row>
    <row r="4" spans="1:17" s="192" customFormat="1" ht="22.5" customHeight="1">
      <c r="A4" s="1265" t="s">
        <v>732</v>
      </c>
      <c r="B4" s="1265"/>
      <c r="C4" s="1265"/>
      <c r="D4" s="1265"/>
      <c r="E4" s="204" t="s">
        <v>1616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</row>
    <row r="5" spans="1:17" s="192" customFormat="1" ht="21.75" customHeight="1">
      <c r="A5" s="187"/>
      <c r="B5" s="205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190"/>
      <c r="N5" s="190"/>
      <c r="O5" s="190"/>
      <c r="P5" s="1415" t="s">
        <v>874</v>
      </c>
      <c r="Q5" s="1415"/>
    </row>
    <row r="6" spans="1:17" s="194" customFormat="1" ht="24.95" customHeight="1">
      <c r="A6" s="1443" t="s">
        <v>728</v>
      </c>
      <c r="B6" s="1443"/>
      <c r="C6" s="1443"/>
      <c r="D6" s="1443"/>
      <c r="E6" s="1443"/>
      <c r="F6" s="1443"/>
      <c r="G6" s="1443"/>
      <c r="H6" s="1443"/>
      <c r="I6" s="1443"/>
      <c r="J6" s="1443"/>
      <c r="K6" s="1443"/>
      <c r="L6" s="1443"/>
      <c r="M6" s="1443"/>
      <c r="N6" s="1443"/>
      <c r="O6" s="1443"/>
      <c r="P6" s="1443"/>
      <c r="Q6" s="1443"/>
    </row>
    <row r="7" spans="1:17" s="17" customFormat="1" ht="24.95" customHeight="1">
      <c r="A7" s="1454" t="s">
        <v>727</v>
      </c>
      <c r="B7" s="1457" t="s">
        <v>1617</v>
      </c>
      <c r="C7" s="1458"/>
      <c r="D7" s="1458"/>
      <c r="E7" s="1458"/>
      <c r="F7" s="1459"/>
      <c r="G7" s="1457" t="s">
        <v>1619</v>
      </c>
      <c r="H7" s="1458"/>
      <c r="I7" s="1458"/>
      <c r="J7" s="1458"/>
      <c r="K7" s="1458"/>
      <c r="L7" s="1459"/>
      <c r="M7" s="1460" t="s">
        <v>1620</v>
      </c>
      <c r="N7" s="1461"/>
      <c r="O7" s="1461"/>
      <c r="P7" s="1461"/>
      <c r="Q7" s="1462"/>
    </row>
    <row r="8" spans="1:17" s="200" customFormat="1" ht="24.95" customHeight="1">
      <c r="A8" s="1455"/>
      <c r="B8" s="1447" t="s">
        <v>734</v>
      </c>
      <c r="C8" s="1449" t="s">
        <v>132</v>
      </c>
      <c r="D8" s="1449"/>
      <c r="E8" s="1450" t="s">
        <v>133</v>
      </c>
      <c r="F8" s="1451"/>
      <c r="G8" s="1447" t="s">
        <v>734</v>
      </c>
      <c r="H8" s="1449" t="s">
        <v>132</v>
      </c>
      <c r="I8" s="1449"/>
      <c r="J8" s="1449"/>
      <c r="K8" s="1450" t="s">
        <v>133</v>
      </c>
      <c r="L8" s="1451"/>
      <c r="M8" s="1447" t="s">
        <v>734</v>
      </c>
      <c r="N8" s="1449" t="s">
        <v>132</v>
      </c>
      <c r="O8" s="1449"/>
      <c r="P8" s="1450" t="s">
        <v>133</v>
      </c>
      <c r="Q8" s="1451"/>
    </row>
    <row r="9" spans="1:17" s="17" customFormat="1" ht="74.25" customHeight="1">
      <c r="A9" s="1456"/>
      <c r="B9" s="1448"/>
      <c r="C9" s="201" t="s">
        <v>153</v>
      </c>
      <c r="D9" s="830" t="s">
        <v>733</v>
      </c>
      <c r="E9" s="201" t="s">
        <v>153</v>
      </c>
      <c r="F9" s="830" t="s">
        <v>733</v>
      </c>
      <c r="G9" s="1448"/>
      <c r="H9" s="201" t="s">
        <v>153</v>
      </c>
      <c r="I9" s="201"/>
      <c r="J9" s="830" t="s">
        <v>733</v>
      </c>
      <c r="K9" s="201" t="s">
        <v>153</v>
      </c>
      <c r="L9" s="830" t="s">
        <v>733</v>
      </c>
      <c r="M9" s="1448"/>
      <c r="N9" s="201" t="s">
        <v>153</v>
      </c>
      <c r="O9" s="830" t="s">
        <v>733</v>
      </c>
      <c r="P9" s="201" t="s">
        <v>153</v>
      </c>
      <c r="Q9" s="831" t="s">
        <v>733</v>
      </c>
    </row>
    <row r="10" spans="1:17" s="6" customFormat="1" ht="24.95" customHeight="1">
      <c r="A10" s="18">
        <v>22</v>
      </c>
      <c r="B10" s="213"/>
      <c r="C10" s="214"/>
      <c r="D10" s="215"/>
      <c r="E10" s="214"/>
      <c r="F10" s="216"/>
      <c r="G10" s="213"/>
      <c r="H10" s="214"/>
      <c r="I10" s="1035"/>
      <c r="J10" s="215"/>
      <c r="K10" s="214">
        <f>SUM(G10-H10)</f>
        <v>0</v>
      </c>
      <c r="L10" s="220">
        <f>SUM(I10-J10)</f>
        <v>0</v>
      </c>
      <c r="M10" s="217">
        <f>+G10</f>
        <v>0</v>
      </c>
      <c r="N10" s="218">
        <f>+H10</f>
        <v>0</v>
      </c>
      <c r="O10" s="215"/>
      <c r="P10" s="218">
        <f>+K10</f>
        <v>0</v>
      </c>
      <c r="Q10" s="220">
        <f>+L10</f>
        <v>0</v>
      </c>
    </row>
    <row r="11" spans="1:17" s="6" customFormat="1" ht="24.95" customHeight="1">
      <c r="A11" s="11">
        <v>21</v>
      </c>
      <c r="B11" s="217"/>
      <c r="C11" s="218"/>
      <c r="D11" s="219"/>
      <c r="E11" s="218"/>
      <c r="F11" s="220"/>
      <c r="G11" s="217"/>
      <c r="H11" s="218"/>
      <c r="I11" s="1036"/>
      <c r="J11" s="219"/>
      <c r="K11" s="218"/>
      <c r="L11" s="220"/>
      <c r="M11" s="217"/>
      <c r="N11" s="218"/>
      <c r="O11" s="219"/>
      <c r="P11" s="218"/>
      <c r="Q11" s="220"/>
    </row>
    <row r="12" spans="1:17" s="6" customFormat="1" ht="24.95" customHeight="1">
      <c r="A12" s="11">
        <v>20</v>
      </c>
      <c r="B12" s="217"/>
      <c r="C12" s="218"/>
      <c r="D12" s="219"/>
      <c r="E12" s="218"/>
      <c r="F12" s="220"/>
      <c r="G12" s="217"/>
      <c r="H12" s="218"/>
      <c r="I12" s="1036"/>
      <c r="J12" s="219"/>
      <c r="K12" s="218">
        <f>SUM(G12-H12)</f>
        <v>0</v>
      </c>
      <c r="L12" s="220">
        <f>SUM(I12-J12)</f>
        <v>0</v>
      </c>
      <c r="M12" s="217">
        <f t="shared" ref="M12:N15" si="0">+G12</f>
        <v>0</v>
      </c>
      <c r="N12" s="218">
        <f t="shared" si="0"/>
        <v>0</v>
      </c>
      <c r="O12" s="219"/>
      <c r="P12" s="218">
        <f>+K12</f>
        <v>0</v>
      </c>
      <c r="Q12" s="220">
        <f>+L12</f>
        <v>0</v>
      </c>
    </row>
    <row r="13" spans="1:17" s="6" customFormat="1" ht="24.95" customHeight="1">
      <c r="A13" s="11">
        <v>19</v>
      </c>
      <c r="B13" s="217"/>
      <c r="C13" s="218"/>
      <c r="D13" s="219"/>
      <c r="E13" s="218"/>
      <c r="F13" s="220"/>
      <c r="G13" s="217">
        <v>12</v>
      </c>
      <c r="H13" s="218">
        <v>1</v>
      </c>
      <c r="I13" s="1036">
        <v>17.007000000000001</v>
      </c>
      <c r="J13" s="219">
        <v>2.1139999999999999</v>
      </c>
      <c r="K13" s="218">
        <f>SUM(G13-H13)</f>
        <v>11</v>
      </c>
      <c r="L13" s="220">
        <f>SUM(I13-J13)</f>
        <v>14.893000000000001</v>
      </c>
      <c r="M13" s="217">
        <f t="shared" si="0"/>
        <v>12</v>
      </c>
      <c r="N13" s="218">
        <f t="shared" si="0"/>
        <v>1</v>
      </c>
      <c r="O13" s="219">
        <v>2.1509999999999998</v>
      </c>
      <c r="P13" s="218">
        <f>+K13</f>
        <v>11</v>
      </c>
      <c r="Q13" s="220">
        <f t="shared" ref="Q13:Q15" si="1">+L13</f>
        <v>14.893000000000001</v>
      </c>
    </row>
    <row r="14" spans="1:17" s="6" customFormat="1" ht="24.95" customHeight="1">
      <c r="A14" s="11">
        <v>18</v>
      </c>
      <c r="B14" s="217"/>
      <c r="C14" s="218"/>
      <c r="D14" s="219"/>
      <c r="E14" s="218"/>
      <c r="F14" s="220"/>
      <c r="G14" s="217">
        <v>34</v>
      </c>
      <c r="H14" s="218">
        <v>16</v>
      </c>
      <c r="I14" s="1036">
        <v>47.4</v>
      </c>
      <c r="J14" s="219">
        <v>29.274999999999999</v>
      </c>
      <c r="K14" s="218">
        <f>SUM(G14-H14)</f>
        <v>18</v>
      </c>
      <c r="L14" s="220">
        <f>SUM(I14-J14)</f>
        <v>18.125</v>
      </c>
      <c r="M14" s="217">
        <f t="shared" si="0"/>
        <v>34</v>
      </c>
      <c r="N14" s="218">
        <f t="shared" si="0"/>
        <v>16</v>
      </c>
      <c r="O14" s="219">
        <v>29.283000000000001</v>
      </c>
      <c r="P14" s="218">
        <f>+K14</f>
        <v>18</v>
      </c>
      <c r="Q14" s="220">
        <f t="shared" si="1"/>
        <v>18.125</v>
      </c>
    </row>
    <row r="15" spans="1:17" s="6" customFormat="1" ht="24.95" customHeight="1">
      <c r="A15" s="209">
        <v>17</v>
      </c>
      <c r="B15" s="221"/>
      <c r="C15" s="222"/>
      <c r="D15" s="223"/>
      <c r="E15" s="222"/>
      <c r="F15" s="224"/>
      <c r="G15" s="221">
        <v>41</v>
      </c>
      <c r="H15" s="222">
        <v>30</v>
      </c>
      <c r="I15" s="1037">
        <v>48.83</v>
      </c>
      <c r="J15" s="223">
        <v>38.993000000000002</v>
      </c>
      <c r="K15" s="218">
        <f>SUM(G15-H15)</f>
        <v>11</v>
      </c>
      <c r="L15" s="220">
        <f>SUM(I15-J15)</f>
        <v>9.8369999999999962</v>
      </c>
      <c r="M15" s="217">
        <f t="shared" si="0"/>
        <v>41</v>
      </c>
      <c r="N15" s="218">
        <f t="shared" si="0"/>
        <v>30</v>
      </c>
      <c r="O15" s="223">
        <v>38.502000000000002</v>
      </c>
      <c r="P15" s="218">
        <f>+K15</f>
        <v>11</v>
      </c>
      <c r="Q15" s="220">
        <f t="shared" si="1"/>
        <v>9.8369999999999962</v>
      </c>
    </row>
    <row r="16" spans="1:17" s="6" customFormat="1" ht="24.95" customHeight="1">
      <c r="A16" s="210" t="s">
        <v>736</v>
      </c>
      <c r="B16" s="211">
        <f>SUM(B10:B15)</f>
        <v>0</v>
      </c>
      <c r="C16" s="211">
        <f t="shared" ref="C16:L16" si="2">SUM(C10:C15)</f>
        <v>0</v>
      </c>
      <c r="D16" s="212">
        <f>SUM(D10:D15)</f>
        <v>0</v>
      </c>
      <c r="E16" s="211">
        <f t="shared" si="2"/>
        <v>0</v>
      </c>
      <c r="F16" s="212">
        <f t="shared" si="2"/>
        <v>0</v>
      </c>
      <c r="G16" s="211">
        <f>SUM(G10:G15)</f>
        <v>87</v>
      </c>
      <c r="H16" s="211">
        <f t="shared" si="2"/>
        <v>47</v>
      </c>
      <c r="I16" s="840">
        <f t="shared" si="2"/>
        <v>113.23699999999999</v>
      </c>
      <c r="J16" s="1038">
        <f t="shared" si="2"/>
        <v>70.382000000000005</v>
      </c>
      <c r="K16" s="211">
        <f t="shared" si="2"/>
        <v>40</v>
      </c>
      <c r="L16" s="1038">
        <f t="shared" si="2"/>
        <v>42.854999999999997</v>
      </c>
      <c r="M16" s="211">
        <f>SUM(M10:M15)</f>
        <v>87</v>
      </c>
      <c r="N16" s="211">
        <f t="shared" ref="N16:Q16" si="3">SUM(N10:N15)</f>
        <v>47</v>
      </c>
      <c r="O16" s="840">
        <f t="shared" si="3"/>
        <v>69.936000000000007</v>
      </c>
      <c r="P16" s="211">
        <f t="shared" si="3"/>
        <v>40</v>
      </c>
      <c r="Q16" s="1039">
        <f t="shared" si="3"/>
        <v>42.854999999999997</v>
      </c>
    </row>
    <row r="17" spans="1:17" s="6" customFormat="1" ht="24.95" customHeight="1">
      <c r="A17" s="18">
        <v>16</v>
      </c>
      <c r="B17" s="225"/>
      <c r="C17" s="226"/>
      <c r="D17" s="834"/>
      <c r="E17" s="226"/>
      <c r="F17" s="835"/>
      <c r="G17" s="1045">
        <v>88</v>
      </c>
      <c r="H17" s="226">
        <v>52</v>
      </c>
      <c r="I17" s="226">
        <v>68.212000000000003</v>
      </c>
      <c r="J17" s="834">
        <v>49.09</v>
      </c>
      <c r="K17" s="218">
        <f>SUM(G17-H17)</f>
        <v>36</v>
      </c>
      <c r="L17" s="220">
        <f t="shared" ref="L17:L19" si="4">SUM(I17-J17)</f>
        <v>19.122</v>
      </c>
      <c r="M17" s="217">
        <f t="shared" ref="M17:N19" si="5">+G17</f>
        <v>88</v>
      </c>
      <c r="N17" s="218">
        <f t="shared" si="5"/>
        <v>52</v>
      </c>
      <c r="O17" s="834">
        <v>48.220999999999997</v>
      </c>
      <c r="P17" s="218">
        <f t="shared" ref="P17:Q19" si="6">+K17</f>
        <v>36</v>
      </c>
      <c r="Q17" s="220">
        <f t="shared" si="6"/>
        <v>19.122</v>
      </c>
    </row>
    <row r="18" spans="1:17" s="6" customFormat="1" ht="24.95" customHeight="1">
      <c r="A18" s="11">
        <v>15</v>
      </c>
      <c r="B18" s="202"/>
      <c r="C18" s="206"/>
      <c r="D18" s="836"/>
      <c r="E18" s="206"/>
      <c r="F18" s="837"/>
      <c r="G18" s="1046">
        <v>3</v>
      </c>
      <c r="H18" s="206">
        <v>3</v>
      </c>
      <c r="I18" s="206">
        <v>2.4449999999999998</v>
      </c>
      <c r="J18" s="836">
        <v>2.4449999999999998</v>
      </c>
      <c r="K18" s="218">
        <f>SUM(G18-H18)</f>
        <v>0</v>
      </c>
      <c r="L18" s="220">
        <f t="shared" si="4"/>
        <v>0</v>
      </c>
      <c r="M18" s="217">
        <f t="shared" si="5"/>
        <v>3</v>
      </c>
      <c r="N18" s="218">
        <f t="shared" si="5"/>
        <v>3</v>
      </c>
      <c r="O18" s="836">
        <v>2.3170000000000002</v>
      </c>
      <c r="P18" s="218">
        <f t="shared" si="6"/>
        <v>0</v>
      </c>
      <c r="Q18" s="220">
        <f t="shared" si="6"/>
        <v>0</v>
      </c>
    </row>
    <row r="19" spans="1:17" s="6" customFormat="1" ht="24.95" customHeight="1">
      <c r="A19" s="19">
        <v>14</v>
      </c>
      <c r="B19" s="203"/>
      <c r="C19" s="206"/>
      <c r="D19" s="836"/>
      <c r="E19" s="206"/>
      <c r="F19" s="837"/>
      <c r="G19" s="1046">
        <v>3</v>
      </c>
      <c r="H19" s="206">
        <v>2</v>
      </c>
      <c r="I19" s="206">
        <v>1.7989999999999999</v>
      </c>
      <c r="J19" s="836">
        <v>1.4019999999999999</v>
      </c>
      <c r="K19" s="218">
        <f>SUM(G19-H19)</f>
        <v>1</v>
      </c>
      <c r="L19" s="220">
        <f t="shared" si="4"/>
        <v>0.39700000000000002</v>
      </c>
      <c r="M19" s="217">
        <f t="shared" si="5"/>
        <v>3</v>
      </c>
      <c r="N19" s="218">
        <f t="shared" si="5"/>
        <v>2</v>
      </c>
      <c r="O19" s="836">
        <v>1.371</v>
      </c>
      <c r="P19" s="218">
        <f t="shared" si="6"/>
        <v>1</v>
      </c>
      <c r="Q19" s="220">
        <f t="shared" si="6"/>
        <v>0.39700000000000002</v>
      </c>
    </row>
    <row r="20" spans="1:17" s="6" customFormat="1" ht="24.95" customHeight="1">
      <c r="A20" s="19">
        <v>13</v>
      </c>
      <c r="B20" s="203"/>
      <c r="C20" s="206"/>
      <c r="D20" s="836"/>
      <c r="E20" s="206"/>
      <c r="F20" s="837"/>
      <c r="G20" s="1046"/>
      <c r="H20" s="206"/>
      <c r="I20" s="206"/>
      <c r="J20" s="836"/>
      <c r="K20" s="206"/>
      <c r="L20" s="837"/>
      <c r="M20" s="203"/>
      <c r="N20" s="206"/>
      <c r="O20" s="836"/>
      <c r="P20" s="206"/>
      <c r="Q20" s="837"/>
    </row>
    <row r="21" spans="1:17" s="6" customFormat="1" ht="24.95" customHeight="1">
      <c r="A21" s="19">
        <v>12</v>
      </c>
      <c r="B21" s="203"/>
      <c r="C21" s="206"/>
      <c r="D21" s="836"/>
      <c r="E21" s="206"/>
      <c r="F21" s="837"/>
      <c r="G21" s="1046">
        <v>2</v>
      </c>
      <c r="H21" s="206">
        <v>2</v>
      </c>
      <c r="I21" s="206">
        <v>1.462</v>
      </c>
      <c r="J21" s="836">
        <v>1.462</v>
      </c>
      <c r="K21" s="218">
        <f>SUM(G21-H21)</f>
        <v>0</v>
      </c>
      <c r="L21" s="220">
        <f>SUM(I21-J21)</f>
        <v>0</v>
      </c>
      <c r="M21" s="217">
        <f>+G21</f>
        <v>2</v>
      </c>
      <c r="N21" s="218">
        <f>+H21</f>
        <v>2</v>
      </c>
      <c r="O21" s="836">
        <v>1.393</v>
      </c>
      <c r="P21" s="218">
        <f t="shared" ref="P21:Q23" si="7">+K21</f>
        <v>0</v>
      </c>
      <c r="Q21" s="220">
        <f t="shared" si="7"/>
        <v>0</v>
      </c>
    </row>
    <row r="22" spans="1:17" s="6" customFormat="1" ht="24.95" customHeight="1">
      <c r="A22" s="19">
        <v>11</v>
      </c>
      <c r="B22" s="203"/>
      <c r="C22" s="206"/>
      <c r="D22" s="836"/>
      <c r="E22" s="206"/>
      <c r="F22" s="837"/>
      <c r="G22" s="1046">
        <v>13</v>
      </c>
      <c r="H22" s="206">
        <v>2</v>
      </c>
      <c r="I22" s="206">
        <v>5.2670000000000003</v>
      </c>
      <c r="J22" s="836">
        <v>1.2969999999999999</v>
      </c>
      <c r="K22" s="218">
        <f>SUM(G22-H22)</f>
        <v>11</v>
      </c>
      <c r="L22" s="220">
        <f>SUM(I22-J22)</f>
        <v>3.9700000000000006</v>
      </c>
      <c r="M22" s="217">
        <f>+G22</f>
        <v>13</v>
      </c>
      <c r="N22" s="218">
        <f>+H22</f>
        <v>2</v>
      </c>
      <c r="O22" s="836">
        <v>1.2250000000000001</v>
      </c>
      <c r="P22" s="218">
        <f t="shared" si="7"/>
        <v>11</v>
      </c>
      <c r="Q22" s="220">
        <f t="shared" si="7"/>
        <v>3.9700000000000006</v>
      </c>
    </row>
    <row r="23" spans="1:17" s="6" customFormat="1" ht="24.95" customHeight="1">
      <c r="A23" s="19">
        <v>10</v>
      </c>
      <c r="B23" s="203"/>
      <c r="C23" s="206"/>
      <c r="D23" s="836"/>
      <c r="E23" s="206"/>
      <c r="F23" s="837"/>
      <c r="G23" s="1046">
        <v>1</v>
      </c>
      <c r="H23" s="206"/>
      <c r="I23" s="206">
        <v>0.313</v>
      </c>
      <c r="J23" s="836"/>
      <c r="K23" s="206">
        <f>SUM(G23-H23)</f>
        <v>1</v>
      </c>
      <c r="L23" s="837">
        <f>SUM(I23-J23)</f>
        <v>0.313</v>
      </c>
      <c r="M23" s="203">
        <f>+G23</f>
        <v>1</v>
      </c>
      <c r="N23" s="206"/>
      <c r="O23" s="836"/>
      <c r="P23" s="206">
        <f t="shared" si="7"/>
        <v>1</v>
      </c>
      <c r="Q23" s="837">
        <f t="shared" si="7"/>
        <v>0.313</v>
      </c>
    </row>
    <row r="24" spans="1:17" s="6" customFormat="1" ht="24.95" customHeight="1">
      <c r="A24" s="19">
        <v>9</v>
      </c>
      <c r="B24" s="203"/>
      <c r="C24" s="206"/>
      <c r="D24" s="836"/>
      <c r="E24" s="206"/>
      <c r="F24" s="837"/>
      <c r="G24" s="1047"/>
      <c r="H24" s="206"/>
      <c r="I24" s="206"/>
      <c r="J24" s="836"/>
      <c r="K24" s="206"/>
      <c r="L24" s="837"/>
      <c r="M24" s="203"/>
      <c r="N24" s="206"/>
      <c r="O24" s="836"/>
      <c r="P24" s="206"/>
      <c r="Q24" s="837"/>
    </row>
    <row r="25" spans="1:17" s="6" customFormat="1" ht="24.95" customHeight="1">
      <c r="A25" s="19">
        <v>8</v>
      </c>
      <c r="B25" s="203"/>
      <c r="C25" s="206"/>
      <c r="D25" s="836"/>
      <c r="E25" s="206"/>
      <c r="F25" s="837"/>
      <c r="G25" s="1046">
        <v>3</v>
      </c>
      <c r="H25" s="206">
        <v>3</v>
      </c>
      <c r="I25" s="206">
        <v>1.577</v>
      </c>
      <c r="J25" s="836">
        <v>1.577</v>
      </c>
      <c r="K25" s="218">
        <f>SUM(G25-H25)</f>
        <v>0</v>
      </c>
      <c r="L25" s="220">
        <f t="shared" ref="L25:L27" si="8">SUM(I25-J25)</f>
        <v>0</v>
      </c>
      <c r="M25" s="217">
        <f t="shared" ref="M25:N27" si="9">+G25</f>
        <v>3</v>
      </c>
      <c r="N25" s="218">
        <f t="shared" si="9"/>
        <v>3</v>
      </c>
      <c r="O25" s="836">
        <v>1.569</v>
      </c>
      <c r="P25" s="218">
        <f t="shared" ref="P25:Q27" si="10">+K25</f>
        <v>0</v>
      </c>
      <c r="Q25" s="220">
        <f t="shared" si="10"/>
        <v>0</v>
      </c>
    </row>
    <row r="26" spans="1:17" s="6" customFormat="1" ht="24.95" customHeight="1">
      <c r="A26" s="19">
        <v>7</v>
      </c>
      <c r="B26" s="203"/>
      <c r="C26" s="206"/>
      <c r="D26" s="836"/>
      <c r="E26" s="206"/>
      <c r="F26" s="837"/>
      <c r="G26" s="1046">
        <v>12</v>
      </c>
      <c r="H26" s="206">
        <v>7</v>
      </c>
      <c r="I26" s="206">
        <v>5.7930000000000001</v>
      </c>
      <c r="J26" s="836">
        <v>4.0570000000000004</v>
      </c>
      <c r="K26" s="218">
        <f>SUM(G26-H26)</f>
        <v>5</v>
      </c>
      <c r="L26" s="220">
        <f t="shared" si="8"/>
        <v>1.7359999999999998</v>
      </c>
      <c r="M26" s="217">
        <f t="shared" si="9"/>
        <v>12</v>
      </c>
      <c r="N26" s="218">
        <f t="shared" si="9"/>
        <v>7</v>
      </c>
      <c r="O26" s="836">
        <v>3.95</v>
      </c>
      <c r="P26" s="218">
        <f t="shared" si="10"/>
        <v>5</v>
      </c>
      <c r="Q26" s="220">
        <f t="shared" si="10"/>
        <v>1.7359999999999998</v>
      </c>
    </row>
    <row r="27" spans="1:17" s="6" customFormat="1" ht="24.95" customHeight="1">
      <c r="A27" s="19">
        <v>6</v>
      </c>
      <c r="B27" s="227"/>
      <c r="C27" s="228"/>
      <c r="D27" s="838"/>
      <c r="E27" s="228"/>
      <c r="F27" s="839"/>
      <c r="G27" s="1048">
        <v>12</v>
      </c>
      <c r="H27" s="228">
        <v>9</v>
      </c>
      <c r="I27" s="228">
        <v>5.3860000000000001</v>
      </c>
      <c r="J27" s="838">
        <v>4.319</v>
      </c>
      <c r="K27" s="218">
        <f>SUM(G27-H27)</f>
        <v>3</v>
      </c>
      <c r="L27" s="220">
        <f t="shared" si="8"/>
        <v>1.0670000000000002</v>
      </c>
      <c r="M27" s="217">
        <f t="shared" si="9"/>
        <v>12</v>
      </c>
      <c r="N27" s="218">
        <f t="shared" si="9"/>
        <v>9</v>
      </c>
      <c r="O27" s="838">
        <v>4.359</v>
      </c>
      <c r="P27" s="218">
        <f t="shared" si="10"/>
        <v>3</v>
      </c>
      <c r="Q27" s="220">
        <f t="shared" si="10"/>
        <v>1.0670000000000002</v>
      </c>
    </row>
    <row r="28" spans="1:17" s="6" customFormat="1" ht="24.95" customHeight="1">
      <c r="A28" s="210" t="s">
        <v>736</v>
      </c>
      <c r="B28" s="211">
        <f>SUM(B17:B27)</f>
        <v>0</v>
      </c>
      <c r="C28" s="211">
        <f t="shared" ref="C28:Q28" si="11">SUM(C17:C27)</f>
        <v>0</v>
      </c>
      <c r="D28" s="212">
        <f t="shared" si="11"/>
        <v>0</v>
      </c>
      <c r="E28" s="211">
        <f t="shared" si="11"/>
        <v>0</v>
      </c>
      <c r="F28" s="212">
        <f t="shared" si="11"/>
        <v>0</v>
      </c>
      <c r="G28" s="211">
        <f t="shared" si="11"/>
        <v>137</v>
      </c>
      <c r="H28" s="211">
        <f t="shared" si="11"/>
        <v>80</v>
      </c>
      <c r="I28" s="840">
        <f t="shared" si="11"/>
        <v>92.254000000000005</v>
      </c>
      <c r="J28" s="1038">
        <f t="shared" si="11"/>
        <v>65.649000000000001</v>
      </c>
      <c r="K28" s="211">
        <f t="shared" si="11"/>
        <v>57</v>
      </c>
      <c r="L28" s="832">
        <f t="shared" si="11"/>
        <v>26.604999999999997</v>
      </c>
      <c r="M28" s="211">
        <f t="shared" si="11"/>
        <v>137</v>
      </c>
      <c r="N28" s="211">
        <f t="shared" si="11"/>
        <v>80</v>
      </c>
      <c r="O28" s="833">
        <f t="shared" si="11"/>
        <v>64.405000000000001</v>
      </c>
      <c r="P28" s="211">
        <f t="shared" si="11"/>
        <v>57</v>
      </c>
      <c r="Q28" s="840">
        <f t="shared" si="11"/>
        <v>26.604999999999997</v>
      </c>
    </row>
    <row r="29" spans="1:17" s="6" customFormat="1" ht="24.95" customHeight="1">
      <c r="A29" s="19">
        <v>5</v>
      </c>
      <c r="B29" s="438"/>
      <c r="C29" s="226"/>
      <c r="D29" s="834"/>
      <c r="E29" s="226"/>
      <c r="F29" s="835"/>
      <c r="G29" s="1045">
        <v>9</v>
      </c>
      <c r="H29" s="226">
        <v>6</v>
      </c>
      <c r="I29" s="226">
        <v>3.242</v>
      </c>
      <c r="J29" s="834">
        <v>2.4420000000000002</v>
      </c>
      <c r="K29" s="218">
        <f>SUM(G29-H29)</f>
        <v>3</v>
      </c>
      <c r="L29" s="220">
        <f t="shared" ref="L29:L32" si="12">SUM(I29-J29)</f>
        <v>0.79999999999999982</v>
      </c>
      <c r="M29" s="217">
        <f t="shared" ref="M29:N32" si="13">+G29</f>
        <v>9</v>
      </c>
      <c r="N29" s="218">
        <f t="shared" si="13"/>
        <v>6</v>
      </c>
      <c r="O29" s="834">
        <v>2.4780000000000002</v>
      </c>
      <c r="P29" s="218">
        <f t="shared" ref="P29:Q32" si="14">+K29</f>
        <v>3</v>
      </c>
      <c r="Q29" s="220">
        <f t="shared" si="14"/>
        <v>0.79999999999999982</v>
      </c>
    </row>
    <row r="30" spans="1:17" s="6" customFormat="1" ht="24.95" customHeight="1">
      <c r="A30" s="19">
        <v>4</v>
      </c>
      <c r="B30" s="203"/>
      <c r="C30" s="206"/>
      <c r="D30" s="836"/>
      <c r="E30" s="206"/>
      <c r="F30" s="837"/>
      <c r="G30" s="1046">
        <v>31</v>
      </c>
      <c r="H30" s="206">
        <v>23</v>
      </c>
      <c r="I30" s="206">
        <v>10.430999999999999</v>
      </c>
      <c r="J30" s="836">
        <v>8.4280000000000008</v>
      </c>
      <c r="K30" s="218">
        <f>SUM(G30-H30)</f>
        <v>8</v>
      </c>
      <c r="L30" s="220">
        <f t="shared" si="12"/>
        <v>2.0029999999999983</v>
      </c>
      <c r="M30" s="217">
        <f t="shared" si="13"/>
        <v>31</v>
      </c>
      <c r="N30" s="218">
        <f t="shared" si="13"/>
        <v>23</v>
      </c>
      <c r="O30" s="836">
        <v>8.4489999999999998</v>
      </c>
      <c r="P30" s="218">
        <f t="shared" si="14"/>
        <v>8</v>
      </c>
      <c r="Q30" s="220">
        <f t="shared" si="14"/>
        <v>2.0029999999999983</v>
      </c>
    </row>
    <row r="31" spans="1:17" s="6" customFormat="1" ht="24.95" customHeight="1">
      <c r="A31" s="19">
        <v>3</v>
      </c>
      <c r="B31" s="203"/>
      <c r="C31" s="206"/>
      <c r="D31" s="836"/>
      <c r="E31" s="206"/>
      <c r="F31" s="837"/>
      <c r="G31" s="1046"/>
      <c r="H31" s="206"/>
      <c r="I31" s="206"/>
      <c r="J31" s="836"/>
      <c r="K31" s="218">
        <f>SUM(G31-H31)</f>
        <v>0</v>
      </c>
      <c r="L31" s="220">
        <f t="shared" si="12"/>
        <v>0</v>
      </c>
      <c r="M31" s="217">
        <f t="shared" si="13"/>
        <v>0</v>
      </c>
      <c r="N31" s="218">
        <f t="shared" si="13"/>
        <v>0</v>
      </c>
      <c r="O31" s="836"/>
      <c r="P31" s="218">
        <f t="shared" si="14"/>
        <v>0</v>
      </c>
      <c r="Q31" s="220">
        <f t="shared" si="14"/>
        <v>0</v>
      </c>
    </row>
    <row r="32" spans="1:17" s="6" customFormat="1" ht="24.95" customHeight="1">
      <c r="A32" s="19">
        <v>2</v>
      </c>
      <c r="B32" s="203"/>
      <c r="C32" s="206"/>
      <c r="D32" s="836"/>
      <c r="E32" s="206"/>
      <c r="F32" s="837"/>
      <c r="G32" s="1046"/>
      <c r="H32" s="206"/>
      <c r="I32" s="206"/>
      <c r="J32" s="836"/>
      <c r="K32" s="218">
        <f>SUM(G32-H32)</f>
        <v>0</v>
      </c>
      <c r="L32" s="220">
        <f t="shared" si="12"/>
        <v>0</v>
      </c>
      <c r="M32" s="217">
        <f t="shared" si="13"/>
        <v>0</v>
      </c>
      <c r="N32" s="218">
        <f t="shared" si="13"/>
        <v>0</v>
      </c>
      <c r="O32" s="836"/>
      <c r="P32" s="218">
        <f t="shared" si="14"/>
        <v>0</v>
      </c>
      <c r="Q32" s="220">
        <f t="shared" si="14"/>
        <v>0</v>
      </c>
    </row>
    <row r="33" spans="1:17" s="6" customFormat="1" ht="24.95" customHeight="1">
      <c r="A33" s="20">
        <v>1</v>
      </c>
      <c r="B33" s="227"/>
      <c r="C33" s="228"/>
      <c r="D33" s="838"/>
      <c r="E33" s="228"/>
      <c r="F33" s="839"/>
      <c r="G33" s="1048"/>
      <c r="H33" s="228"/>
      <c r="I33" s="228"/>
      <c r="J33" s="838"/>
      <c r="K33" s="228"/>
      <c r="L33" s="839"/>
      <c r="M33" s="227"/>
      <c r="N33" s="228"/>
      <c r="O33" s="838"/>
      <c r="P33" s="228"/>
      <c r="Q33" s="839"/>
    </row>
    <row r="34" spans="1:17" s="6" customFormat="1" ht="24.95" customHeight="1">
      <c r="A34" s="208" t="s">
        <v>736</v>
      </c>
      <c r="B34" s="211">
        <f>SUM(B29:B33)</f>
        <v>0</v>
      </c>
      <c r="C34" s="211">
        <f t="shared" ref="C34:Q34" si="15">SUM(C29:C33)</f>
        <v>0</v>
      </c>
      <c r="D34" s="212">
        <f t="shared" si="15"/>
        <v>0</v>
      </c>
      <c r="E34" s="211">
        <f t="shared" si="15"/>
        <v>0</v>
      </c>
      <c r="F34" s="212">
        <f t="shared" si="15"/>
        <v>0</v>
      </c>
      <c r="G34" s="211">
        <f t="shared" si="15"/>
        <v>40</v>
      </c>
      <c r="H34" s="211">
        <f t="shared" si="15"/>
        <v>29</v>
      </c>
      <c r="I34" s="840">
        <f t="shared" si="15"/>
        <v>13.672999999999998</v>
      </c>
      <c r="J34" s="212">
        <f t="shared" si="15"/>
        <v>10.870000000000001</v>
      </c>
      <c r="K34" s="211">
        <f t="shared" si="15"/>
        <v>11</v>
      </c>
      <c r="L34" s="1038">
        <f t="shared" si="15"/>
        <v>2.8029999999999982</v>
      </c>
      <c r="M34" s="211">
        <f t="shared" si="15"/>
        <v>40</v>
      </c>
      <c r="N34" s="211">
        <f>SUM(N29:N33)</f>
        <v>29</v>
      </c>
      <c r="O34" s="843">
        <f t="shared" si="15"/>
        <v>10.927</v>
      </c>
      <c r="P34" s="211">
        <f t="shared" si="15"/>
        <v>11</v>
      </c>
      <c r="Q34" s="840">
        <f t="shared" si="15"/>
        <v>2.8029999999999982</v>
      </c>
    </row>
    <row r="35" spans="1:17" s="6" customFormat="1" ht="24.95" customHeight="1">
      <c r="A35" s="343" t="s">
        <v>735</v>
      </c>
      <c r="B35" s="344">
        <f>B34+B28+B16</f>
        <v>0</v>
      </c>
      <c r="C35" s="344">
        <f t="shared" ref="C35:Q35" si="16">C34+C28+C16</f>
        <v>0</v>
      </c>
      <c r="D35" s="345">
        <f t="shared" si="16"/>
        <v>0</v>
      </c>
      <c r="E35" s="344">
        <f t="shared" si="16"/>
        <v>0</v>
      </c>
      <c r="F35" s="345">
        <f t="shared" si="16"/>
        <v>0</v>
      </c>
      <c r="G35" s="344">
        <f t="shared" si="16"/>
        <v>264</v>
      </c>
      <c r="H35" s="344">
        <f t="shared" si="16"/>
        <v>156</v>
      </c>
      <c r="I35" s="1040">
        <f t="shared" si="16"/>
        <v>219.16399999999999</v>
      </c>
      <c r="J35" s="1041">
        <f t="shared" si="16"/>
        <v>146.90100000000001</v>
      </c>
      <c r="K35" s="344">
        <f t="shared" si="16"/>
        <v>108</v>
      </c>
      <c r="L35" s="1041">
        <f t="shared" si="16"/>
        <v>72.262999999999991</v>
      </c>
      <c r="M35" s="344">
        <f t="shared" si="16"/>
        <v>264</v>
      </c>
      <c r="N35" s="344">
        <f t="shared" si="16"/>
        <v>156</v>
      </c>
      <c r="O35" s="1042">
        <f t="shared" si="16"/>
        <v>145.268</v>
      </c>
      <c r="P35" s="344">
        <f t="shared" si="16"/>
        <v>108</v>
      </c>
      <c r="Q35" s="1040">
        <f t="shared" si="16"/>
        <v>72.262999999999991</v>
      </c>
    </row>
    <row r="36" spans="1:17" s="6" customFormat="1" ht="33" customHeight="1">
      <c r="A36" s="1452"/>
      <c r="B36" s="1452"/>
      <c r="C36" s="1452"/>
      <c r="D36" s="1452"/>
      <c r="E36" s="1452"/>
      <c r="F36" s="1452"/>
      <c r="G36" s="1452"/>
      <c r="H36" s="1452"/>
      <c r="I36" s="1452"/>
      <c r="J36" s="1452"/>
      <c r="K36" s="1452"/>
      <c r="L36" s="1452"/>
      <c r="M36" s="13"/>
      <c r="N36" s="13"/>
      <c r="O36" s="13"/>
      <c r="P36" s="13"/>
      <c r="Q36" s="13"/>
    </row>
    <row r="37" spans="1:17" s="6" customFormat="1">
      <c r="B37" s="13"/>
      <c r="C37" s="13"/>
      <c r="D37" s="841"/>
      <c r="E37" s="13"/>
      <c r="F37" s="841"/>
      <c r="G37" s="842"/>
      <c r="H37" s="13"/>
      <c r="I37" s="13"/>
      <c r="J37" s="841"/>
      <c r="K37" s="13"/>
      <c r="L37" s="841"/>
      <c r="M37" s="13"/>
      <c r="N37" s="13"/>
      <c r="O37" s="13"/>
      <c r="P37" s="13"/>
      <c r="Q37" s="13"/>
    </row>
    <row r="38" spans="1:17" s="6" customFormat="1">
      <c r="B38" s="13"/>
      <c r="C38" s="13"/>
      <c r="D38" s="841"/>
      <c r="E38" s="13"/>
      <c r="F38" s="841"/>
      <c r="G38" s="842"/>
      <c r="H38" s="13"/>
      <c r="I38" s="13"/>
      <c r="J38" s="841"/>
      <c r="K38" s="13"/>
      <c r="L38" s="841"/>
      <c r="M38" s="13"/>
      <c r="N38" s="13"/>
      <c r="O38" s="13"/>
      <c r="P38" s="13"/>
      <c r="Q38" s="13"/>
    </row>
    <row r="39" spans="1:17" s="6" customFormat="1">
      <c r="B39" s="13"/>
      <c r="C39" s="13"/>
      <c r="D39" s="841"/>
      <c r="E39" s="13"/>
      <c r="F39" s="841"/>
      <c r="G39" s="842"/>
      <c r="H39" s="13"/>
      <c r="I39" s="13"/>
      <c r="J39" s="841"/>
      <c r="K39" s="13"/>
      <c r="L39" s="841"/>
      <c r="M39" s="13"/>
      <c r="N39" s="13"/>
      <c r="O39" s="13"/>
      <c r="P39" s="13"/>
      <c r="Q39" s="13"/>
    </row>
    <row r="40" spans="1:17" s="6" customFormat="1">
      <c r="B40" s="13"/>
      <c r="C40" s="13"/>
      <c r="D40" s="841"/>
      <c r="E40" s="13"/>
      <c r="F40" s="841"/>
      <c r="G40" s="842"/>
      <c r="H40" s="13"/>
      <c r="I40" s="13"/>
      <c r="J40" s="841"/>
      <c r="K40" s="13"/>
      <c r="L40" s="841"/>
      <c r="M40" s="13"/>
      <c r="N40" s="13"/>
      <c r="O40" s="13"/>
      <c r="P40" s="13"/>
      <c r="Q40" s="13"/>
    </row>
    <row r="41" spans="1:17" s="6" customFormat="1">
      <c r="B41" s="13"/>
      <c r="C41" s="13"/>
      <c r="D41" s="841"/>
      <c r="E41" s="13"/>
      <c r="F41" s="841"/>
      <c r="G41" s="1453" t="s">
        <v>915</v>
      </c>
      <c r="H41" s="1453"/>
      <c r="I41" s="1453"/>
      <c r="J41" s="1453"/>
      <c r="M41" s="13"/>
      <c r="N41" s="13"/>
      <c r="O41" s="1043" t="s">
        <v>952</v>
      </c>
      <c r="P41" s="1044"/>
      <c r="Q41" s="655"/>
    </row>
    <row r="42" spans="1:17" s="6" customFormat="1">
      <c r="B42" s="13"/>
      <c r="C42" s="13"/>
      <c r="D42" s="841"/>
      <c r="E42" s="13"/>
      <c r="F42" s="841"/>
      <c r="G42" s="842"/>
      <c r="H42" s="13"/>
      <c r="I42" s="13"/>
      <c r="J42" s="841"/>
      <c r="K42" s="13"/>
      <c r="L42" s="841"/>
      <c r="M42" s="13"/>
      <c r="N42" s="13"/>
      <c r="O42" s="13"/>
      <c r="P42" s="13"/>
      <c r="Q42" s="13"/>
    </row>
    <row r="43" spans="1:17" s="6" customFormat="1">
      <c r="B43" s="13"/>
      <c r="C43" s="13"/>
      <c r="D43" s="841"/>
      <c r="E43" s="13"/>
      <c r="F43" s="841"/>
      <c r="G43" s="842"/>
      <c r="H43" s="13"/>
      <c r="I43" s="13"/>
      <c r="J43" s="841"/>
      <c r="K43" s="13"/>
      <c r="L43" s="841"/>
      <c r="M43" s="13"/>
      <c r="N43" s="13"/>
      <c r="O43" s="13"/>
      <c r="P43" s="13"/>
      <c r="Q43" s="13"/>
    </row>
    <row r="44" spans="1:17" s="6" customFormat="1">
      <c r="B44" s="13"/>
      <c r="C44" s="13"/>
      <c r="D44" s="841"/>
      <c r="E44" s="13"/>
      <c r="F44" s="841"/>
      <c r="G44" s="842"/>
      <c r="H44" s="13"/>
      <c r="I44" s="13"/>
      <c r="J44" s="841"/>
      <c r="K44" s="13"/>
      <c r="L44" s="841"/>
      <c r="M44" s="13"/>
      <c r="N44" s="13"/>
      <c r="O44" s="13"/>
      <c r="P44" s="13"/>
      <c r="Q44" s="13"/>
    </row>
    <row r="45" spans="1:17" s="6" customFormat="1">
      <c r="B45" s="13"/>
      <c r="C45" s="13"/>
      <c r="D45" s="841"/>
      <c r="E45" s="13"/>
      <c r="F45" s="841"/>
      <c r="G45" s="842"/>
      <c r="H45" s="13"/>
      <c r="I45" s="13"/>
      <c r="J45" s="841"/>
      <c r="K45" s="13"/>
      <c r="L45" s="841"/>
      <c r="M45" s="13"/>
      <c r="N45" s="13"/>
      <c r="O45" s="13"/>
      <c r="P45" s="13"/>
      <c r="Q45" s="13"/>
    </row>
    <row r="46" spans="1:17" s="6" customFormat="1">
      <c r="B46" s="13"/>
      <c r="C46" s="13"/>
      <c r="D46" s="841"/>
      <c r="E46" s="13"/>
      <c r="F46" s="841"/>
      <c r="G46" s="842"/>
      <c r="H46" s="13"/>
      <c r="I46" s="13"/>
      <c r="J46" s="841"/>
      <c r="K46" s="13"/>
      <c r="L46" s="841"/>
      <c r="M46" s="13"/>
      <c r="N46" s="13"/>
      <c r="O46" s="13"/>
      <c r="P46" s="13"/>
      <c r="Q46" s="13"/>
    </row>
    <row r="47" spans="1:17" s="6" customFormat="1">
      <c r="B47" s="13"/>
      <c r="C47" s="13"/>
      <c r="D47" s="841"/>
      <c r="E47" s="13"/>
      <c r="F47" s="841"/>
      <c r="G47" s="842"/>
      <c r="H47" s="13"/>
      <c r="I47" s="13"/>
      <c r="J47" s="841"/>
      <c r="K47" s="13"/>
      <c r="L47" s="841"/>
      <c r="M47" s="13"/>
      <c r="N47" s="13"/>
      <c r="O47" s="13"/>
      <c r="P47" s="13"/>
      <c r="Q47" s="13"/>
    </row>
    <row r="48" spans="1:17" s="6" customFormat="1">
      <c r="B48" s="13"/>
      <c r="C48" s="13"/>
      <c r="D48" s="841"/>
      <c r="E48" s="13"/>
      <c r="F48" s="841"/>
      <c r="G48" s="842"/>
      <c r="H48" s="13"/>
      <c r="I48" s="13"/>
      <c r="J48" s="841"/>
      <c r="K48" s="13"/>
      <c r="L48" s="841"/>
      <c r="M48" s="13"/>
      <c r="N48" s="13"/>
      <c r="O48" s="13"/>
      <c r="P48" s="13"/>
      <c r="Q48" s="13"/>
    </row>
    <row r="49" spans="2:17" s="6" customFormat="1">
      <c r="B49" s="13"/>
      <c r="C49" s="13"/>
      <c r="D49" s="841"/>
      <c r="E49" s="13"/>
      <c r="F49" s="841"/>
      <c r="G49" s="842"/>
      <c r="H49" s="13"/>
      <c r="I49" s="13"/>
      <c r="J49" s="841"/>
      <c r="K49" s="13"/>
      <c r="L49" s="841"/>
      <c r="M49" s="13"/>
      <c r="N49" s="13"/>
      <c r="O49" s="13"/>
      <c r="P49" s="13"/>
      <c r="Q49" s="13"/>
    </row>
    <row r="50" spans="2:17" s="6" customFormat="1">
      <c r="B50" s="13"/>
      <c r="C50" s="13"/>
      <c r="D50" s="841"/>
      <c r="E50" s="13"/>
      <c r="F50" s="841"/>
      <c r="G50" s="842"/>
      <c r="H50" s="13"/>
      <c r="I50" s="13"/>
      <c r="J50" s="841"/>
      <c r="K50" s="13"/>
      <c r="L50" s="841"/>
      <c r="M50" s="13"/>
      <c r="N50" s="13"/>
      <c r="O50" s="13"/>
      <c r="P50" s="13"/>
      <c r="Q50" s="13"/>
    </row>
    <row r="51" spans="2:17" s="6" customFormat="1">
      <c r="B51" s="13"/>
      <c r="C51" s="13"/>
      <c r="D51" s="841"/>
      <c r="E51" s="13"/>
      <c r="F51" s="841"/>
      <c r="G51" s="842"/>
      <c r="H51" s="13"/>
      <c r="I51" s="13"/>
      <c r="J51" s="841"/>
      <c r="K51" s="13"/>
      <c r="L51" s="841"/>
      <c r="M51" s="13"/>
      <c r="N51" s="13"/>
      <c r="O51" s="13"/>
      <c r="P51" s="13"/>
      <c r="Q51" s="13"/>
    </row>
    <row r="52" spans="2:17" s="6" customFormat="1">
      <c r="B52" s="13"/>
      <c r="C52" s="13"/>
      <c r="D52" s="841"/>
      <c r="E52" s="13"/>
      <c r="F52" s="841"/>
      <c r="G52" s="842"/>
      <c r="H52" s="13"/>
      <c r="I52" s="13"/>
      <c r="J52" s="841"/>
      <c r="K52" s="13"/>
      <c r="L52" s="841"/>
      <c r="M52" s="13"/>
      <c r="N52" s="13"/>
      <c r="O52" s="13"/>
      <c r="P52" s="13"/>
      <c r="Q52" s="13"/>
    </row>
    <row r="53" spans="2:17" s="6" customFormat="1">
      <c r="B53" s="13"/>
      <c r="C53" s="13"/>
      <c r="D53" s="841"/>
      <c r="E53" s="13"/>
      <c r="F53" s="841"/>
      <c r="G53" s="842"/>
      <c r="H53" s="13"/>
      <c r="I53" s="13"/>
      <c r="J53" s="841"/>
      <c r="K53" s="13"/>
      <c r="L53" s="841"/>
      <c r="M53" s="13"/>
      <c r="N53" s="13"/>
      <c r="O53" s="13"/>
      <c r="P53" s="13"/>
      <c r="Q53" s="13"/>
    </row>
    <row r="54" spans="2:17" s="6" customFormat="1">
      <c r="B54" s="13"/>
      <c r="C54" s="13"/>
      <c r="D54" s="841"/>
      <c r="E54" s="13"/>
      <c r="F54" s="841"/>
      <c r="G54" s="842"/>
      <c r="H54" s="13"/>
      <c r="I54" s="13"/>
      <c r="J54" s="841"/>
      <c r="K54" s="13"/>
      <c r="L54" s="841"/>
      <c r="M54" s="13"/>
      <c r="N54" s="13"/>
      <c r="O54" s="13"/>
      <c r="P54" s="13"/>
      <c r="Q54" s="13"/>
    </row>
    <row r="55" spans="2:17" s="6" customFormat="1">
      <c r="B55" s="13"/>
      <c r="C55" s="13"/>
      <c r="D55" s="841"/>
      <c r="E55" s="13"/>
      <c r="F55" s="841"/>
      <c r="G55" s="842"/>
      <c r="H55" s="13"/>
      <c r="I55" s="13"/>
      <c r="J55" s="841"/>
      <c r="K55" s="13"/>
      <c r="L55" s="841"/>
      <c r="M55" s="13"/>
      <c r="N55" s="13"/>
      <c r="O55" s="13"/>
      <c r="P55" s="13"/>
      <c r="Q55" s="13"/>
    </row>
    <row r="56" spans="2:17" s="6" customFormat="1">
      <c r="B56" s="13"/>
      <c r="C56" s="13"/>
      <c r="D56" s="841"/>
      <c r="E56" s="13"/>
      <c r="F56" s="841"/>
      <c r="G56" s="842"/>
      <c r="H56" s="13"/>
      <c r="I56" s="13"/>
      <c r="J56" s="841"/>
      <c r="K56" s="13"/>
      <c r="L56" s="841"/>
      <c r="M56" s="13"/>
      <c r="N56" s="13"/>
      <c r="O56" s="13"/>
      <c r="P56" s="13"/>
      <c r="Q56" s="13"/>
    </row>
    <row r="57" spans="2:17" s="6" customFormat="1">
      <c r="B57" s="13"/>
      <c r="C57" s="13"/>
      <c r="D57" s="841"/>
      <c r="E57" s="13"/>
      <c r="F57" s="841"/>
      <c r="G57" s="842"/>
      <c r="H57" s="13"/>
      <c r="I57" s="13"/>
      <c r="J57" s="841"/>
      <c r="K57" s="13"/>
      <c r="L57" s="841"/>
      <c r="M57" s="13"/>
      <c r="N57" s="13"/>
      <c r="O57" s="13"/>
      <c r="P57" s="13"/>
      <c r="Q57" s="13"/>
    </row>
    <row r="58" spans="2:17" s="6" customFormat="1">
      <c r="B58" s="13"/>
      <c r="C58" s="13"/>
      <c r="D58" s="841"/>
      <c r="E58" s="13"/>
      <c r="F58" s="841"/>
      <c r="G58" s="842"/>
      <c r="H58" s="13"/>
      <c r="I58" s="13"/>
      <c r="J58" s="841"/>
      <c r="K58" s="13"/>
      <c r="L58" s="841"/>
      <c r="M58" s="13"/>
      <c r="N58" s="13"/>
      <c r="O58" s="13"/>
      <c r="P58" s="13"/>
      <c r="Q58" s="13"/>
    </row>
    <row r="59" spans="2:17" s="6" customFormat="1">
      <c r="B59" s="13"/>
      <c r="C59" s="13"/>
      <c r="D59" s="841"/>
      <c r="E59" s="13"/>
      <c r="F59" s="841"/>
      <c r="G59" s="842"/>
      <c r="H59" s="13"/>
      <c r="I59" s="13"/>
      <c r="J59" s="841"/>
      <c r="K59" s="13"/>
      <c r="L59" s="841"/>
      <c r="M59" s="13"/>
      <c r="N59" s="13"/>
      <c r="O59" s="13"/>
      <c r="P59" s="13"/>
      <c r="Q59" s="13"/>
    </row>
    <row r="60" spans="2:17" s="6" customFormat="1">
      <c r="B60" s="13"/>
      <c r="C60" s="13"/>
      <c r="D60" s="841"/>
      <c r="E60" s="13"/>
      <c r="F60" s="841"/>
      <c r="G60" s="842"/>
      <c r="H60" s="13"/>
      <c r="I60" s="13"/>
      <c r="J60" s="841"/>
      <c r="K60" s="13"/>
      <c r="L60" s="841"/>
      <c r="M60" s="13"/>
      <c r="N60" s="13"/>
      <c r="O60" s="13"/>
      <c r="P60" s="13"/>
      <c r="Q60" s="13"/>
    </row>
    <row r="61" spans="2:17" s="6" customFormat="1">
      <c r="B61" s="13"/>
      <c r="C61" s="13"/>
      <c r="D61" s="841"/>
      <c r="E61" s="13"/>
      <c r="F61" s="841"/>
      <c r="G61" s="842"/>
      <c r="H61" s="13"/>
      <c r="I61" s="13"/>
      <c r="J61" s="841"/>
      <c r="K61" s="13"/>
      <c r="L61" s="841"/>
      <c r="M61" s="13"/>
      <c r="N61" s="13"/>
      <c r="O61" s="13"/>
      <c r="P61" s="13"/>
      <c r="Q61" s="13"/>
    </row>
    <row r="62" spans="2:17" s="6" customFormat="1">
      <c r="B62" s="13"/>
      <c r="C62" s="13"/>
      <c r="D62" s="841"/>
      <c r="E62" s="13"/>
      <c r="F62" s="841"/>
      <c r="G62" s="842"/>
      <c r="H62" s="13"/>
      <c r="I62" s="13"/>
      <c r="J62" s="841"/>
      <c r="K62" s="13"/>
      <c r="L62" s="841"/>
      <c r="M62" s="13"/>
      <c r="N62" s="13"/>
      <c r="O62" s="13"/>
      <c r="P62" s="13"/>
      <c r="Q62" s="13"/>
    </row>
    <row r="63" spans="2:17" s="6" customFormat="1">
      <c r="B63" s="13"/>
      <c r="C63" s="13"/>
      <c r="D63" s="841"/>
      <c r="E63" s="13"/>
      <c r="F63" s="841"/>
      <c r="G63" s="842"/>
      <c r="H63" s="13"/>
      <c r="I63" s="13"/>
      <c r="J63" s="841"/>
      <c r="K63" s="13"/>
      <c r="L63" s="841"/>
      <c r="M63" s="13"/>
      <c r="N63" s="13"/>
      <c r="O63" s="13"/>
      <c r="P63" s="13"/>
      <c r="Q63" s="13"/>
    </row>
    <row r="64" spans="2:17" s="6" customFormat="1">
      <c r="B64" s="13"/>
      <c r="C64" s="13"/>
      <c r="D64" s="841"/>
      <c r="E64" s="13"/>
      <c r="F64" s="841"/>
      <c r="G64" s="842"/>
      <c r="H64" s="13"/>
      <c r="I64" s="13"/>
      <c r="J64" s="841"/>
      <c r="K64" s="13"/>
      <c r="L64" s="841"/>
      <c r="M64" s="13"/>
      <c r="N64" s="13"/>
      <c r="O64" s="13"/>
      <c r="P64" s="13"/>
      <c r="Q64" s="13"/>
    </row>
  </sheetData>
  <mergeCells count="21">
    <mergeCell ref="M8:M9"/>
    <mergeCell ref="N8:O8"/>
    <mergeCell ref="P8:Q8"/>
    <mergeCell ref="A36:L36"/>
    <mergeCell ref="G41:J41"/>
    <mergeCell ref="A7:A9"/>
    <mergeCell ref="B7:F7"/>
    <mergeCell ref="G7:L7"/>
    <mergeCell ref="M7:Q7"/>
    <mergeCell ref="B8:B9"/>
    <mergeCell ref="C8:D8"/>
    <mergeCell ref="E8:F8"/>
    <mergeCell ref="G8:G9"/>
    <mergeCell ref="H8:J8"/>
    <mergeCell ref="K8:L8"/>
    <mergeCell ref="A6:Q6"/>
    <mergeCell ref="P1:Q1"/>
    <mergeCell ref="A2:Q2"/>
    <mergeCell ref="A3:L3"/>
    <mergeCell ref="A4:D4"/>
    <mergeCell ref="P5:Q5"/>
  </mergeCells>
  <printOptions horizontalCentered="1"/>
  <pageMargins left="0.5" right="0.25" top="0.25" bottom="0.25" header="0.25" footer="0.25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9900"/>
  </sheetPr>
  <dimension ref="A1:V51"/>
  <sheetViews>
    <sheetView view="pageBreakPreview" topLeftCell="A13" zoomScaleSheetLayoutView="100" workbookViewId="0">
      <selection activeCell="G34" sqref="G34"/>
    </sheetView>
  </sheetViews>
  <sheetFormatPr defaultRowHeight="14.25"/>
  <cols>
    <col min="1" max="1" width="9.5703125" style="177" customWidth="1"/>
    <col min="2" max="2" width="35.7109375" style="177" customWidth="1"/>
    <col min="3" max="5" width="13.7109375" style="177" customWidth="1"/>
    <col min="6" max="6" width="13.7109375" style="693" customWidth="1"/>
    <col min="7" max="7" width="6.85546875" style="177" customWidth="1"/>
    <col min="8" max="8" width="6.42578125" style="177" customWidth="1"/>
    <col min="9" max="10" width="6.85546875" style="177" customWidth="1"/>
    <col min="11" max="11" width="13.7109375" style="177" bestFit="1" customWidth="1"/>
    <col min="12" max="12" width="6.85546875" style="177" customWidth="1"/>
    <col min="13" max="16384" width="9.140625" style="177"/>
  </cols>
  <sheetData>
    <row r="1" spans="1:22" s="151" customFormat="1" ht="15.75" customHeight="1">
      <c r="A1" s="173"/>
      <c r="B1" s="173"/>
      <c r="C1" s="174"/>
      <c r="D1" s="174"/>
      <c r="E1" s="174"/>
      <c r="F1" s="675" t="s">
        <v>944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22" s="148" customFormat="1" ht="25.5" customHeight="1">
      <c r="A2" s="1465" t="s">
        <v>1513</v>
      </c>
      <c r="B2" s="1465"/>
      <c r="C2" s="1465"/>
      <c r="D2" s="1465"/>
      <c r="E2" s="1465"/>
      <c r="F2" s="1465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22" s="148" customFormat="1" ht="15" customHeight="1">
      <c r="A3" s="480"/>
      <c r="B3" s="480"/>
      <c r="C3" s="480"/>
      <c r="D3" s="480"/>
      <c r="E3" s="480"/>
      <c r="F3" s="1021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1:22" s="151" customFormat="1" ht="16.5" customHeight="1">
      <c r="A4" s="1470" t="s">
        <v>959</v>
      </c>
      <c r="B4" s="1470"/>
      <c r="C4" s="1470"/>
      <c r="D4" s="1470"/>
      <c r="E4" s="1470"/>
      <c r="F4" s="1470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</row>
    <row r="5" spans="1:22" s="151" customFormat="1" ht="10.5" customHeight="1">
      <c r="A5" s="509"/>
      <c r="B5" s="509"/>
      <c r="C5" s="509"/>
      <c r="D5" s="509"/>
      <c r="E5" s="509"/>
      <c r="F5" s="102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22" s="151" customFormat="1" ht="20.25" customHeight="1">
      <c r="A6" s="1473" t="s">
        <v>947</v>
      </c>
      <c r="B6" s="1473"/>
      <c r="C6" s="1473"/>
      <c r="D6" s="1473"/>
      <c r="E6" s="351"/>
      <c r="F6" s="686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</row>
    <row r="7" spans="1:22" s="165" customFormat="1" ht="11.25" customHeight="1">
      <c r="B7" s="175"/>
      <c r="C7" s="176"/>
      <c r="D7" s="176"/>
      <c r="E7" s="176"/>
      <c r="F7" s="677" t="s">
        <v>873</v>
      </c>
      <c r="G7" s="150"/>
      <c r="H7" s="150"/>
      <c r="I7" s="150"/>
      <c r="J7" s="150"/>
    </row>
    <row r="8" spans="1:22" s="516" customFormat="1" ht="18" customHeight="1">
      <c r="A8" s="1467" t="s">
        <v>160</v>
      </c>
      <c r="B8" s="1467" t="s">
        <v>958</v>
      </c>
      <c r="C8" s="1468" t="s">
        <v>1221</v>
      </c>
      <c r="D8" s="1471" t="s">
        <v>1208</v>
      </c>
      <c r="E8" s="1472"/>
      <c r="F8" s="1365" t="s">
        <v>1199</v>
      </c>
      <c r="G8" s="513"/>
      <c r="H8" s="513"/>
      <c r="I8" s="513"/>
      <c r="J8" s="514"/>
      <c r="K8" s="515"/>
      <c r="L8" s="515"/>
      <c r="M8" s="515"/>
      <c r="T8" s="517"/>
      <c r="U8" s="516" t="s">
        <v>993</v>
      </c>
    </row>
    <row r="9" spans="1:22" s="518" customFormat="1" ht="25.5">
      <c r="A9" s="1467"/>
      <c r="B9" s="1467"/>
      <c r="C9" s="1468"/>
      <c r="D9" s="479" t="s">
        <v>682</v>
      </c>
      <c r="E9" s="479" t="s">
        <v>683</v>
      </c>
      <c r="F9" s="1374"/>
      <c r="J9" s="519"/>
      <c r="K9" s="519"/>
      <c r="L9" s="519"/>
      <c r="M9" s="519"/>
      <c r="T9" s="520"/>
      <c r="U9" s="521"/>
      <c r="V9" s="522"/>
    </row>
    <row r="10" spans="1:22" s="508" customFormat="1" ht="15.95" customHeight="1">
      <c r="A10" s="503"/>
      <c r="B10" s="503" t="s">
        <v>945</v>
      </c>
      <c r="C10" s="511"/>
      <c r="D10" s="511"/>
      <c r="E10" s="511"/>
      <c r="F10" s="1023">
        <v>5</v>
      </c>
    </row>
    <row r="11" spans="1:22" s="508" customFormat="1" ht="15.95" customHeight="1">
      <c r="A11" s="503"/>
      <c r="B11" s="503" t="s">
        <v>946</v>
      </c>
      <c r="C11" s="511"/>
      <c r="D11" s="511"/>
      <c r="E11" s="511"/>
      <c r="F11" s="1023">
        <v>6</v>
      </c>
    </row>
    <row r="12" spans="1:22" s="508" customFormat="1" ht="15.95" customHeight="1">
      <c r="A12" s="503"/>
      <c r="B12" s="503" t="s">
        <v>927</v>
      </c>
      <c r="C12" s="511"/>
      <c r="D12" s="511"/>
      <c r="E12" s="511"/>
      <c r="F12" s="1023">
        <v>2.5</v>
      </c>
    </row>
    <row r="13" spans="1:22" s="508" customFormat="1" ht="23.25" customHeight="1">
      <c r="A13" s="503"/>
      <c r="B13" s="503" t="s">
        <v>950</v>
      </c>
      <c r="C13" s="511"/>
      <c r="D13" s="511"/>
      <c r="E13" s="511"/>
      <c r="F13" s="1023">
        <v>5</v>
      </c>
    </row>
    <row r="14" spans="1:22" s="508" customFormat="1" ht="15.95" customHeight="1">
      <c r="A14" s="503"/>
      <c r="B14" s="503" t="s">
        <v>953</v>
      </c>
      <c r="C14" s="511"/>
      <c r="D14" s="511"/>
      <c r="E14" s="511"/>
      <c r="F14" s="1023">
        <v>5</v>
      </c>
    </row>
    <row r="15" spans="1:22" s="508" customFormat="1" ht="15.95" customHeight="1">
      <c r="A15" s="503"/>
      <c r="B15" s="503" t="s">
        <v>928</v>
      </c>
      <c r="C15" s="511"/>
      <c r="D15" s="511"/>
      <c r="E15" s="511"/>
      <c r="F15" s="1023">
        <v>6</v>
      </c>
    </row>
    <row r="16" spans="1:22" s="508" customFormat="1" ht="15.95" customHeight="1">
      <c r="A16" s="503"/>
      <c r="B16" s="503"/>
      <c r="C16" s="511"/>
      <c r="D16" s="511"/>
      <c r="E16" s="511"/>
      <c r="F16" s="1023"/>
    </row>
    <row r="17" spans="1:22" s="508" customFormat="1" ht="15.95" customHeight="1">
      <c r="A17" s="503"/>
      <c r="B17" s="503"/>
      <c r="C17" s="511"/>
      <c r="D17" s="511"/>
      <c r="E17" s="511"/>
      <c r="F17" s="1023"/>
    </row>
    <row r="18" spans="1:22" s="508" customFormat="1" ht="20.100000000000001" customHeight="1">
      <c r="A18" s="503"/>
      <c r="B18" s="504" t="s">
        <v>136</v>
      </c>
      <c r="C18" s="505">
        <f>SUM(C10:C17)</f>
        <v>0</v>
      </c>
      <c r="D18" s="505">
        <f>SUM(D10:D17)</f>
        <v>0</v>
      </c>
      <c r="E18" s="505">
        <f>SUM(E10:E17)</f>
        <v>0</v>
      </c>
      <c r="F18" s="1024">
        <f>SUM(F10:F17)</f>
        <v>29.5</v>
      </c>
    </row>
    <row r="19" spans="1:22" s="481" customFormat="1" ht="20.100000000000001" customHeight="1">
      <c r="A19" s="512"/>
      <c r="B19" s="506"/>
      <c r="C19" s="507"/>
      <c r="D19" s="507"/>
      <c r="E19" s="507"/>
      <c r="F19" s="1025"/>
    </row>
    <row r="20" spans="1:22" s="481" customFormat="1" ht="20.100000000000001" customHeight="1">
      <c r="A20" s="512"/>
      <c r="B20" s="506"/>
      <c r="C20" s="507"/>
      <c r="D20" s="507"/>
      <c r="E20" s="507"/>
      <c r="F20" s="1025"/>
    </row>
    <row r="21" spans="1:22" s="481" customFormat="1" ht="18" customHeight="1">
      <c r="B21" s="510" t="s">
        <v>951</v>
      </c>
      <c r="C21" s="507"/>
      <c r="D21" s="507"/>
      <c r="E21" s="1463" t="s">
        <v>952</v>
      </c>
      <c r="F21" s="1463"/>
    </row>
    <row r="22" spans="1:22" s="481" customFormat="1" ht="9.75" customHeight="1">
      <c r="A22" s="512"/>
      <c r="B22" s="506"/>
      <c r="C22" s="507"/>
      <c r="D22" s="507"/>
      <c r="E22" s="507"/>
      <c r="F22" s="1025"/>
    </row>
    <row r="23" spans="1:22" s="481" customFormat="1" ht="20.100000000000001" customHeight="1">
      <c r="A23" s="1466" t="s">
        <v>954</v>
      </c>
      <c r="B23" s="1466"/>
      <c r="C23" s="1466"/>
      <c r="D23" s="1466"/>
      <c r="E23" s="507"/>
      <c r="F23" s="1025"/>
    </row>
    <row r="24" spans="1:22" s="516" customFormat="1" ht="18" customHeight="1">
      <c r="A24" s="1467" t="s">
        <v>160</v>
      </c>
      <c r="B24" s="1467" t="s">
        <v>958</v>
      </c>
      <c r="C24" s="1468" t="s">
        <v>1221</v>
      </c>
      <c r="D24" s="1468" t="s">
        <v>1208</v>
      </c>
      <c r="E24" s="1468"/>
      <c r="F24" s="1469" t="s">
        <v>1199</v>
      </c>
      <c r="G24" s="513"/>
      <c r="H24" s="513"/>
      <c r="I24" s="513"/>
      <c r="J24" s="514"/>
      <c r="K24" s="515"/>
      <c r="L24" s="515"/>
      <c r="M24" s="515"/>
      <c r="T24" s="517"/>
      <c r="U24" s="516" t="s">
        <v>993</v>
      </c>
    </row>
    <row r="25" spans="1:22" s="518" customFormat="1" ht="25.5">
      <c r="A25" s="1467"/>
      <c r="B25" s="1467"/>
      <c r="C25" s="1468"/>
      <c r="D25" s="479" t="s">
        <v>682</v>
      </c>
      <c r="E25" s="479" t="s">
        <v>683</v>
      </c>
      <c r="F25" s="1469"/>
      <c r="J25" s="519"/>
      <c r="K25" s="519"/>
      <c r="L25" s="519"/>
      <c r="M25" s="519"/>
      <c r="T25" s="520"/>
      <c r="U25" s="521"/>
      <c r="V25" s="522"/>
    </row>
    <row r="26" spans="1:22" ht="15" customHeight="1">
      <c r="A26" s="1070"/>
      <c r="B26" s="1070" t="s">
        <v>1643</v>
      </c>
      <c r="C26" s="1071" t="s">
        <v>1644</v>
      </c>
      <c r="D26" s="1071"/>
      <c r="E26" s="1072"/>
      <c r="F26" s="1073">
        <f>600000/1000000</f>
        <v>0.6</v>
      </c>
    </row>
    <row r="27" spans="1:22" ht="15" customHeight="1">
      <c r="A27" s="1070"/>
      <c r="B27" s="1070" t="s">
        <v>1645</v>
      </c>
      <c r="C27" s="1071"/>
      <c r="D27" s="1071"/>
      <c r="E27" s="1072"/>
      <c r="F27" s="1073">
        <f>150000/1000000</f>
        <v>0.15</v>
      </c>
    </row>
    <row r="28" spans="1:22" ht="15" customHeight="1">
      <c r="A28" s="1070"/>
      <c r="B28" s="1070" t="s">
        <v>1646</v>
      </c>
      <c r="C28" s="1071"/>
      <c r="D28" s="1071"/>
      <c r="E28" s="1072"/>
      <c r="F28" s="1073">
        <f>150000/1000000</f>
        <v>0.15</v>
      </c>
    </row>
    <row r="29" spans="1:22" ht="15" customHeight="1">
      <c r="A29" s="1070"/>
      <c r="B29" s="1070" t="s">
        <v>1647</v>
      </c>
      <c r="C29" s="1071"/>
      <c r="D29" s="1071"/>
      <c r="E29" s="1072"/>
      <c r="F29" s="1073"/>
    </row>
    <row r="30" spans="1:22" ht="15" customHeight="1">
      <c r="A30" s="1070"/>
      <c r="B30" s="1070" t="s">
        <v>1648</v>
      </c>
      <c r="C30" s="1071"/>
      <c r="D30" s="1071"/>
      <c r="E30" s="1072"/>
      <c r="F30" s="1073">
        <f>360000/1000000</f>
        <v>0.36</v>
      </c>
    </row>
    <row r="31" spans="1:22" ht="15" customHeight="1">
      <c r="A31" s="1070"/>
      <c r="B31" s="1070" t="s">
        <v>1649</v>
      </c>
      <c r="C31" s="1071"/>
      <c r="D31" s="1071"/>
      <c r="E31" s="1072"/>
      <c r="F31" s="1073">
        <f>150000/1000000</f>
        <v>0.15</v>
      </c>
    </row>
    <row r="32" spans="1:22" s="527" customFormat="1" ht="20.100000000000001" customHeight="1">
      <c r="A32" s="1070"/>
      <c r="B32" s="1070" t="s">
        <v>1650</v>
      </c>
      <c r="C32" s="1071"/>
      <c r="D32" s="1071"/>
      <c r="E32" s="1072"/>
      <c r="F32" s="1073">
        <f>250000/1000000</f>
        <v>0.25</v>
      </c>
    </row>
    <row r="33" spans="1:6" s="524" customFormat="1" ht="20.100000000000001" customHeight="1">
      <c r="A33" s="1070"/>
      <c r="B33" s="1070" t="s">
        <v>1651</v>
      </c>
      <c r="C33" s="1071"/>
      <c r="D33" s="1071"/>
      <c r="E33" s="1072"/>
      <c r="F33" s="1073">
        <f>150000/1000000</f>
        <v>0.15</v>
      </c>
    </row>
    <row r="34" spans="1:6" ht="15" customHeight="1">
      <c r="A34" s="525"/>
      <c r="B34" s="504" t="s">
        <v>136</v>
      </c>
      <c r="C34" s="1026">
        <f t="shared" ref="C34:E34" si="0">SUM(C26:C33)</f>
        <v>0</v>
      </c>
      <c r="D34" s="1026">
        <f t="shared" si="0"/>
        <v>0</v>
      </c>
      <c r="E34" s="1026">
        <f t="shared" si="0"/>
        <v>0</v>
      </c>
      <c r="F34" s="1026">
        <f>SUM(F26:F33)</f>
        <v>1.8099999999999998</v>
      </c>
    </row>
    <row r="35" spans="1:6" ht="15" customHeight="1">
      <c r="A35" s="512"/>
      <c r="B35" s="506"/>
      <c r="C35" s="507"/>
      <c r="D35" s="507"/>
      <c r="E35" s="507"/>
      <c r="F35" s="1025"/>
    </row>
    <row r="36" spans="1:6" ht="15" customHeight="1">
      <c r="A36" s="512"/>
      <c r="B36" s="506"/>
      <c r="C36" s="507"/>
      <c r="D36" s="507"/>
      <c r="E36" s="507"/>
      <c r="F36" s="1025"/>
    </row>
    <row r="37" spans="1:6" ht="15" customHeight="1">
      <c r="A37" s="481"/>
      <c r="B37" s="510" t="s">
        <v>956</v>
      </c>
      <c r="C37" s="507"/>
      <c r="D37" s="507"/>
      <c r="E37" s="1463" t="s">
        <v>952</v>
      </c>
      <c r="F37" s="1463"/>
    </row>
    <row r="38" spans="1:6" ht="15" customHeight="1">
      <c r="A38" s="512"/>
      <c r="B38" s="506"/>
      <c r="C38" s="507"/>
      <c r="D38" s="507"/>
      <c r="E38" s="507"/>
      <c r="F38" s="1025"/>
    </row>
    <row r="39" spans="1:6" ht="15" customHeight="1">
      <c r="A39" s="1466" t="s">
        <v>955</v>
      </c>
      <c r="B39" s="1466"/>
      <c r="C39" s="1466"/>
      <c r="D39" s="1466"/>
      <c r="E39" s="507"/>
      <c r="F39" s="1025"/>
    </row>
    <row r="40" spans="1:6" s="527" customFormat="1" ht="20.100000000000001" customHeight="1">
      <c r="A40" s="1467" t="s">
        <v>160</v>
      </c>
      <c r="B40" s="1467" t="s">
        <v>958</v>
      </c>
      <c r="C40" s="1468" t="s">
        <v>1221</v>
      </c>
      <c r="D40" s="1468" t="s">
        <v>1208</v>
      </c>
      <c r="E40" s="1468"/>
      <c r="F40" s="1469" t="s">
        <v>1199</v>
      </c>
    </row>
    <row r="41" spans="1:6" ht="21.95" customHeight="1">
      <c r="A41" s="1467"/>
      <c r="B41" s="1467"/>
      <c r="C41" s="1468"/>
      <c r="D41" s="479" t="s">
        <v>682</v>
      </c>
      <c r="E41" s="479" t="s">
        <v>683</v>
      </c>
      <c r="F41" s="1469"/>
    </row>
    <row r="42" spans="1:6" ht="21.95" customHeight="1">
      <c r="A42" s="503"/>
      <c r="B42" s="503"/>
      <c r="C42" s="511"/>
      <c r="D42" s="511"/>
      <c r="E42" s="511"/>
      <c r="F42" s="1023"/>
    </row>
    <row r="43" spans="1:6" ht="18" customHeight="1">
      <c r="A43" s="503"/>
      <c r="B43" s="503"/>
      <c r="C43" s="511"/>
      <c r="D43" s="511"/>
      <c r="E43" s="511"/>
      <c r="F43" s="1023"/>
    </row>
    <row r="44" spans="1:6">
      <c r="A44" s="503"/>
      <c r="B44" s="503"/>
      <c r="C44" s="511"/>
      <c r="D44" s="511"/>
      <c r="E44" s="511"/>
      <c r="F44" s="1023"/>
    </row>
    <row r="45" spans="1:6">
      <c r="A45" s="503"/>
      <c r="B45" s="503"/>
      <c r="C45" s="511"/>
      <c r="D45" s="511"/>
      <c r="E45" s="511"/>
      <c r="F45" s="1023"/>
    </row>
    <row r="46" spans="1:6">
      <c r="A46" s="503"/>
      <c r="B46" s="503"/>
      <c r="C46" s="511"/>
      <c r="D46" s="511"/>
      <c r="E46" s="511"/>
      <c r="F46" s="1023"/>
    </row>
    <row r="47" spans="1:6">
      <c r="A47" s="503"/>
      <c r="B47" s="503"/>
      <c r="C47" s="511"/>
      <c r="D47" s="511"/>
      <c r="E47" s="511"/>
      <c r="F47" s="1023"/>
    </row>
    <row r="48" spans="1:6">
      <c r="A48" s="525"/>
      <c r="B48" s="504" t="s">
        <v>136</v>
      </c>
      <c r="C48" s="526">
        <f>SUM(C42:C47)</f>
        <v>0</v>
      </c>
      <c r="D48" s="526">
        <f>SUM(D42:D47)</f>
        <v>0</v>
      </c>
      <c r="E48" s="526">
        <f>SUM(E42:E47)</f>
        <v>0</v>
      </c>
      <c r="F48" s="1026">
        <f>SUM(F42:F47)</f>
        <v>0</v>
      </c>
    </row>
    <row r="51" spans="2:6" ht="15">
      <c r="B51" s="510" t="s">
        <v>957</v>
      </c>
      <c r="C51" s="507"/>
      <c r="D51" s="507"/>
      <c r="E51" s="1463" t="s">
        <v>952</v>
      </c>
      <c r="F51" s="1464"/>
    </row>
  </sheetData>
  <mergeCells count="23">
    <mergeCell ref="F40:F41"/>
    <mergeCell ref="E37:F37"/>
    <mergeCell ref="A39:D39"/>
    <mergeCell ref="A40:A41"/>
    <mergeCell ref="B40:B41"/>
    <mergeCell ref="C40:C41"/>
    <mergeCell ref="D40:E40"/>
    <mergeCell ref="E51:F51"/>
    <mergeCell ref="A2:F2"/>
    <mergeCell ref="A23:D23"/>
    <mergeCell ref="E21:F21"/>
    <mergeCell ref="A24:A25"/>
    <mergeCell ref="B24:B25"/>
    <mergeCell ref="C24:C25"/>
    <mergeCell ref="D24:E24"/>
    <mergeCell ref="F24:F25"/>
    <mergeCell ref="A4:F4"/>
    <mergeCell ref="A8:A9"/>
    <mergeCell ref="B8:B9"/>
    <mergeCell ref="C8:C9"/>
    <mergeCell ref="D8:E8"/>
    <mergeCell ref="F8:F9"/>
    <mergeCell ref="A6:D6"/>
  </mergeCells>
  <printOptions horizontalCentered="1"/>
  <pageMargins left="0.45" right="0.5" top="0.25" bottom="0.25" header="0.25" footer="0"/>
  <pageSetup scale="9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W167"/>
  <sheetViews>
    <sheetView view="pageBreakPreview" topLeftCell="A61" zoomScaleNormal="90" zoomScaleSheetLayoutView="100" workbookViewId="0">
      <selection activeCell="B164" sqref="B164"/>
    </sheetView>
  </sheetViews>
  <sheetFormatPr defaultRowHeight="14.25"/>
  <cols>
    <col min="1" max="1" width="3.7109375" style="233" customWidth="1"/>
    <col min="2" max="2" width="32.7109375" style="190" customWidth="1"/>
    <col min="3" max="3" width="11.7109375" style="190" customWidth="1"/>
    <col min="4" max="4" width="9.7109375" style="190" customWidth="1"/>
    <col min="5" max="5" width="9.5703125" style="1" customWidth="1"/>
    <col min="6" max="6" width="7.28515625" style="1" customWidth="1"/>
    <col min="7" max="8" width="9.5703125" style="1" customWidth="1"/>
    <col min="9" max="9" width="7.5703125" style="1" customWidth="1"/>
    <col min="10" max="11" width="9.5703125" style="1" customWidth="1"/>
    <col min="12" max="12" width="8" style="1" customWidth="1"/>
    <col min="13" max="13" width="9.5703125" style="1" customWidth="1"/>
    <col min="14" max="14" width="36.85546875" style="9" customWidth="1"/>
    <col min="15" max="21" width="14.28515625" style="9" customWidth="1"/>
    <col min="22" max="236" width="9.140625" style="9"/>
    <col min="237" max="237" width="38.5703125" style="9" customWidth="1"/>
    <col min="238" max="238" width="6.5703125" style="9" customWidth="1"/>
    <col min="239" max="239" width="7.7109375" style="9" bestFit="1" customWidth="1"/>
    <col min="240" max="240" width="7.28515625" style="9" customWidth="1"/>
    <col min="241" max="241" width="6.5703125" style="9" bestFit="1" customWidth="1"/>
    <col min="242" max="242" width="7.28515625" style="9" bestFit="1" customWidth="1"/>
    <col min="243" max="243" width="8.140625" style="9" customWidth="1"/>
    <col min="244" max="244" width="7.140625" style="9" customWidth="1"/>
    <col min="245" max="245" width="7.7109375" style="9" bestFit="1" customWidth="1"/>
    <col min="246" max="246" width="7.28515625" style="9" customWidth="1"/>
    <col min="247" max="247" width="7" style="9" customWidth="1"/>
    <col min="248" max="248" width="7.5703125" style="9" customWidth="1"/>
    <col min="249" max="249" width="7.140625" style="9" customWidth="1"/>
    <col min="250" max="250" width="7" style="9" customWidth="1"/>
    <col min="251" max="251" width="7.5703125" style="9" customWidth="1"/>
    <col min="252" max="252" width="7.140625" style="9" customWidth="1"/>
    <col min="253" max="269" width="8.7109375" style="9" customWidth="1"/>
    <col min="270" max="270" width="36.85546875" style="9" customWidth="1"/>
    <col min="271" max="277" width="14.28515625" style="9" customWidth="1"/>
    <col min="278" max="492" width="9.140625" style="9"/>
    <col min="493" max="493" width="38.5703125" style="9" customWidth="1"/>
    <col min="494" max="494" width="6.5703125" style="9" customWidth="1"/>
    <col min="495" max="495" width="7.7109375" style="9" bestFit="1" customWidth="1"/>
    <col min="496" max="496" width="7.28515625" style="9" customWidth="1"/>
    <col min="497" max="497" width="6.5703125" style="9" bestFit="1" customWidth="1"/>
    <col min="498" max="498" width="7.28515625" style="9" bestFit="1" customWidth="1"/>
    <col min="499" max="499" width="8.140625" style="9" customWidth="1"/>
    <col min="500" max="500" width="7.140625" style="9" customWidth="1"/>
    <col min="501" max="501" width="7.7109375" style="9" bestFit="1" customWidth="1"/>
    <col min="502" max="502" width="7.28515625" style="9" customWidth="1"/>
    <col min="503" max="503" width="7" style="9" customWidth="1"/>
    <col min="504" max="504" width="7.5703125" style="9" customWidth="1"/>
    <col min="505" max="505" width="7.140625" style="9" customWidth="1"/>
    <col min="506" max="506" width="7" style="9" customWidth="1"/>
    <col min="507" max="507" width="7.5703125" style="9" customWidth="1"/>
    <col min="508" max="508" width="7.140625" style="9" customWidth="1"/>
    <col min="509" max="525" width="8.7109375" style="9" customWidth="1"/>
    <col min="526" max="526" width="36.85546875" style="9" customWidth="1"/>
    <col min="527" max="533" width="14.28515625" style="9" customWidth="1"/>
    <col min="534" max="748" width="9.140625" style="9"/>
    <col min="749" max="749" width="38.5703125" style="9" customWidth="1"/>
    <col min="750" max="750" width="6.5703125" style="9" customWidth="1"/>
    <col min="751" max="751" width="7.7109375" style="9" bestFit="1" customWidth="1"/>
    <col min="752" max="752" width="7.28515625" style="9" customWidth="1"/>
    <col min="753" max="753" width="6.5703125" style="9" bestFit="1" customWidth="1"/>
    <col min="754" max="754" width="7.28515625" style="9" bestFit="1" customWidth="1"/>
    <col min="755" max="755" width="8.140625" style="9" customWidth="1"/>
    <col min="756" max="756" width="7.140625" style="9" customWidth="1"/>
    <col min="757" max="757" width="7.7109375" style="9" bestFit="1" customWidth="1"/>
    <col min="758" max="758" width="7.28515625" style="9" customWidth="1"/>
    <col min="759" max="759" width="7" style="9" customWidth="1"/>
    <col min="760" max="760" width="7.5703125" style="9" customWidth="1"/>
    <col min="761" max="761" width="7.140625" style="9" customWidth="1"/>
    <col min="762" max="762" width="7" style="9" customWidth="1"/>
    <col min="763" max="763" width="7.5703125" style="9" customWidth="1"/>
    <col min="764" max="764" width="7.140625" style="9" customWidth="1"/>
    <col min="765" max="781" width="8.7109375" style="9" customWidth="1"/>
    <col min="782" max="782" width="36.85546875" style="9" customWidth="1"/>
    <col min="783" max="789" width="14.28515625" style="9" customWidth="1"/>
    <col min="790" max="1004" width="9.140625" style="9"/>
    <col min="1005" max="1005" width="38.5703125" style="9" customWidth="1"/>
    <col min="1006" max="1006" width="6.5703125" style="9" customWidth="1"/>
    <col min="1007" max="1007" width="7.7109375" style="9" bestFit="1" customWidth="1"/>
    <col min="1008" max="1008" width="7.28515625" style="9" customWidth="1"/>
    <col min="1009" max="1009" width="6.5703125" style="9" bestFit="1" customWidth="1"/>
    <col min="1010" max="1010" width="7.28515625" style="9" bestFit="1" customWidth="1"/>
    <col min="1011" max="1011" width="8.140625" style="9" customWidth="1"/>
    <col min="1012" max="1012" width="7.140625" style="9" customWidth="1"/>
    <col min="1013" max="1013" width="7.7109375" style="9" bestFit="1" customWidth="1"/>
    <col min="1014" max="1014" width="7.28515625" style="9" customWidth="1"/>
    <col min="1015" max="1015" width="7" style="9" customWidth="1"/>
    <col min="1016" max="1016" width="7.5703125" style="9" customWidth="1"/>
    <col min="1017" max="1017" width="7.140625" style="9" customWidth="1"/>
    <col min="1018" max="1018" width="7" style="9" customWidth="1"/>
    <col min="1019" max="1019" width="7.5703125" style="9" customWidth="1"/>
    <col min="1020" max="1020" width="7.140625" style="9" customWidth="1"/>
    <col min="1021" max="1037" width="8.7109375" style="9" customWidth="1"/>
    <col min="1038" max="1038" width="36.85546875" style="9" customWidth="1"/>
    <col min="1039" max="1045" width="14.28515625" style="9" customWidth="1"/>
    <col min="1046" max="1260" width="9.140625" style="9"/>
    <col min="1261" max="1261" width="38.5703125" style="9" customWidth="1"/>
    <col min="1262" max="1262" width="6.5703125" style="9" customWidth="1"/>
    <col min="1263" max="1263" width="7.7109375" style="9" bestFit="1" customWidth="1"/>
    <col min="1264" max="1264" width="7.28515625" style="9" customWidth="1"/>
    <col min="1265" max="1265" width="6.5703125" style="9" bestFit="1" customWidth="1"/>
    <col min="1266" max="1266" width="7.28515625" style="9" bestFit="1" customWidth="1"/>
    <col min="1267" max="1267" width="8.140625" style="9" customWidth="1"/>
    <col min="1268" max="1268" width="7.140625" style="9" customWidth="1"/>
    <col min="1269" max="1269" width="7.7109375" style="9" bestFit="1" customWidth="1"/>
    <col min="1270" max="1270" width="7.28515625" style="9" customWidth="1"/>
    <col min="1271" max="1271" width="7" style="9" customWidth="1"/>
    <col min="1272" max="1272" width="7.5703125" style="9" customWidth="1"/>
    <col min="1273" max="1273" width="7.140625" style="9" customWidth="1"/>
    <col min="1274" max="1274" width="7" style="9" customWidth="1"/>
    <col min="1275" max="1275" width="7.5703125" style="9" customWidth="1"/>
    <col min="1276" max="1276" width="7.140625" style="9" customWidth="1"/>
    <col min="1277" max="1293" width="8.7109375" style="9" customWidth="1"/>
    <col min="1294" max="1294" width="36.85546875" style="9" customWidth="1"/>
    <col min="1295" max="1301" width="14.28515625" style="9" customWidth="1"/>
    <col min="1302" max="1516" width="9.140625" style="9"/>
    <col min="1517" max="1517" width="38.5703125" style="9" customWidth="1"/>
    <col min="1518" max="1518" width="6.5703125" style="9" customWidth="1"/>
    <col min="1519" max="1519" width="7.7109375" style="9" bestFit="1" customWidth="1"/>
    <col min="1520" max="1520" width="7.28515625" style="9" customWidth="1"/>
    <col min="1521" max="1521" width="6.5703125" style="9" bestFit="1" customWidth="1"/>
    <col min="1522" max="1522" width="7.28515625" style="9" bestFit="1" customWidth="1"/>
    <col min="1523" max="1523" width="8.140625" style="9" customWidth="1"/>
    <col min="1524" max="1524" width="7.140625" style="9" customWidth="1"/>
    <col min="1525" max="1525" width="7.7109375" style="9" bestFit="1" customWidth="1"/>
    <col min="1526" max="1526" width="7.28515625" style="9" customWidth="1"/>
    <col min="1527" max="1527" width="7" style="9" customWidth="1"/>
    <col min="1528" max="1528" width="7.5703125" style="9" customWidth="1"/>
    <col min="1529" max="1529" width="7.140625" style="9" customWidth="1"/>
    <col min="1530" max="1530" width="7" style="9" customWidth="1"/>
    <col min="1531" max="1531" width="7.5703125" style="9" customWidth="1"/>
    <col min="1532" max="1532" width="7.140625" style="9" customWidth="1"/>
    <col min="1533" max="1549" width="8.7109375" style="9" customWidth="1"/>
    <col min="1550" max="1550" width="36.85546875" style="9" customWidth="1"/>
    <col min="1551" max="1557" width="14.28515625" style="9" customWidth="1"/>
    <col min="1558" max="1772" width="9.140625" style="9"/>
    <col min="1773" max="1773" width="38.5703125" style="9" customWidth="1"/>
    <col min="1774" max="1774" width="6.5703125" style="9" customWidth="1"/>
    <col min="1775" max="1775" width="7.7109375" style="9" bestFit="1" customWidth="1"/>
    <col min="1776" max="1776" width="7.28515625" style="9" customWidth="1"/>
    <col min="1777" max="1777" width="6.5703125" style="9" bestFit="1" customWidth="1"/>
    <col min="1778" max="1778" width="7.28515625" style="9" bestFit="1" customWidth="1"/>
    <col min="1779" max="1779" width="8.140625" style="9" customWidth="1"/>
    <col min="1780" max="1780" width="7.140625" style="9" customWidth="1"/>
    <col min="1781" max="1781" width="7.7109375" style="9" bestFit="1" customWidth="1"/>
    <col min="1782" max="1782" width="7.28515625" style="9" customWidth="1"/>
    <col min="1783" max="1783" width="7" style="9" customWidth="1"/>
    <col min="1784" max="1784" width="7.5703125" style="9" customWidth="1"/>
    <col min="1785" max="1785" width="7.140625" style="9" customWidth="1"/>
    <col min="1786" max="1786" width="7" style="9" customWidth="1"/>
    <col min="1787" max="1787" width="7.5703125" style="9" customWidth="1"/>
    <col min="1788" max="1788" width="7.140625" style="9" customWidth="1"/>
    <col min="1789" max="1805" width="8.7109375" style="9" customWidth="1"/>
    <col min="1806" max="1806" width="36.85546875" style="9" customWidth="1"/>
    <col min="1807" max="1813" width="14.28515625" style="9" customWidth="1"/>
    <col min="1814" max="2028" width="9.140625" style="9"/>
    <col min="2029" max="2029" width="38.5703125" style="9" customWidth="1"/>
    <col min="2030" max="2030" width="6.5703125" style="9" customWidth="1"/>
    <col min="2031" max="2031" width="7.7109375" style="9" bestFit="1" customWidth="1"/>
    <col min="2032" max="2032" width="7.28515625" style="9" customWidth="1"/>
    <col min="2033" max="2033" width="6.5703125" style="9" bestFit="1" customWidth="1"/>
    <col min="2034" max="2034" width="7.28515625" style="9" bestFit="1" customWidth="1"/>
    <col min="2035" max="2035" width="8.140625" style="9" customWidth="1"/>
    <col min="2036" max="2036" width="7.140625" style="9" customWidth="1"/>
    <col min="2037" max="2037" width="7.7109375" style="9" bestFit="1" customWidth="1"/>
    <col min="2038" max="2038" width="7.28515625" style="9" customWidth="1"/>
    <col min="2039" max="2039" width="7" style="9" customWidth="1"/>
    <col min="2040" max="2040" width="7.5703125" style="9" customWidth="1"/>
    <col min="2041" max="2041" width="7.140625" style="9" customWidth="1"/>
    <col min="2042" max="2042" width="7" style="9" customWidth="1"/>
    <col min="2043" max="2043" width="7.5703125" style="9" customWidth="1"/>
    <col min="2044" max="2044" width="7.140625" style="9" customWidth="1"/>
    <col min="2045" max="2061" width="8.7109375" style="9" customWidth="1"/>
    <col min="2062" max="2062" width="36.85546875" style="9" customWidth="1"/>
    <col min="2063" max="2069" width="14.28515625" style="9" customWidth="1"/>
    <col min="2070" max="2284" width="9.140625" style="9"/>
    <col min="2285" max="2285" width="38.5703125" style="9" customWidth="1"/>
    <col min="2286" max="2286" width="6.5703125" style="9" customWidth="1"/>
    <col min="2287" max="2287" width="7.7109375" style="9" bestFit="1" customWidth="1"/>
    <col min="2288" max="2288" width="7.28515625" style="9" customWidth="1"/>
    <col min="2289" max="2289" width="6.5703125" style="9" bestFit="1" customWidth="1"/>
    <col min="2290" max="2290" width="7.28515625" style="9" bestFit="1" customWidth="1"/>
    <col min="2291" max="2291" width="8.140625" style="9" customWidth="1"/>
    <col min="2292" max="2292" width="7.140625" style="9" customWidth="1"/>
    <col min="2293" max="2293" width="7.7109375" style="9" bestFit="1" customWidth="1"/>
    <col min="2294" max="2294" width="7.28515625" style="9" customWidth="1"/>
    <col min="2295" max="2295" width="7" style="9" customWidth="1"/>
    <col min="2296" max="2296" width="7.5703125" style="9" customWidth="1"/>
    <col min="2297" max="2297" width="7.140625" style="9" customWidth="1"/>
    <col min="2298" max="2298" width="7" style="9" customWidth="1"/>
    <col min="2299" max="2299" width="7.5703125" style="9" customWidth="1"/>
    <col min="2300" max="2300" width="7.140625" style="9" customWidth="1"/>
    <col min="2301" max="2317" width="8.7109375" style="9" customWidth="1"/>
    <col min="2318" max="2318" width="36.85546875" style="9" customWidth="1"/>
    <col min="2319" max="2325" width="14.28515625" style="9" customWidth="1"/>
    <col min="2326" max="2540" width="9.140625" style="9"/>
    <col min="2541" max="2541" width="38.5703125" style="9" customWidth="1"/>
    <col min="2542" max="2542" width="6.5703125" style="9" customWidth="1"/>
    <col min="2543" max="2543" width="7.7109375" style="9" bestFit="1" customWidth="1"/>
    <col min="2544" max="2544" width="7.28515625" style="9" customWidth="1"/>
    <col min="2545" max="2545" width="6.5703125" style="9" bestFit="1" customWidth="1"/>
    <col min="2546" max="2546" width="7.28515625" style="9" bestFit="1" customWidth="1"/>
    <col min="2547" max="2547" width="8.140625" style="9" customWidth="1"/>
    <col min="2548" max="2548" width="7.140625" style="9" customWidth="1"/>
    <col min="2549" max="2549" width="7.7109375" style="9" bestFit="1" customWidth="1"/>
    <col min="2550" max="2550" width="7.28515625" style="9" customWidth="1"/>
    <col min="2551" max="2551" width="7" style="9" customWidth="1"/>
    <col min="2552" max="2552" width="7.5703125" style="9" customWidth="1"/>
    <col min="2553" max="2553" width="7.140625" style="9" customWidth="1"/>
    <col min="2554" max="2554" width="7" style="9" customWidth="1"/>
    <col min="2555" max="2555" width="7.5703125" style="9" customWidth="1"/>
    <col min="2556" max="2556" width="7.140625" style="9" customWidth="1"/>
    <col min="2557" max="2573" width="8.7109375" style="9" customWidth="1"/>
    <col min="2574" max="2574" width="36.85546875" style="9" customWidth="1"/>
    <col min="2575" max="2581" width="14.28515625" style="9" customWidth="1"/>
    <col min="2582" max="2796" width="9.140625" style="9"/>
    <col min="2797" max="2797" width="38.5703125" style="9" customWidth="1"/>
    <col min="2798" max="2798" width="6.5703125" style="9" customWidth="1"/>
    <col min="2799" max="2799" width="7.7109375" style="9" bestFit="1" customWidth="1"/>
    <col min="2800" max="2800" width="7.28515625" style="9" customWidth="1"/>
    <col min="2801" max="2801" width="6.5703125" style="9" bestFit="1" customWidth="1"/>
    <col min="2802" max="2802" width="7.28515625" style="9" bestFit="1" customWidth="1"/>
    <col min="2803" max="2803" width="8.140625" style="9" customWidth="1"/>
    <col min="2804" max="2804" width="7.140625" style="9" customWidth="1"/>
    <col min="2805" max="2805" width="7.7109375" style="9" bestFit="1" customWidth="1"/>
    <col min="2806" max="2806" width="7.28515625" style="9" customWidth="1"/>
    <col min="2807" max="2807" width="7" style="9" customWidth="1"/>
    <col min="2808" max="2808" width="7.5703125" style="9" customWidth="1"/>
    <col min="2809" max="2809" width="7.140625" style="9" customWidth="1"/>
    <col min="2810" max="2810" width="7" style="9" customWidth="1"/>
    <col min="2811" max="2811" width="7.5703125" style="9" customWidth="1"/>
    <col min="2812" max="2812" width="7.140625" style="9" customWidth="1"/>
    <col min="2813" max="2829" width="8.7109375" style="9" customWidth="1"/>
    <col min="2830" max="2830" width="36.85546875" style="9" customWidth="1"/>
    <col min="2831" max="2837" width="14.28515625" style="9" customWidth="1"/>
    <col min="2838" max="3052" width="9.140625" style="9"/>
    <col min="3053" max="3053" width="38.5703125" style="9" customWidth="1"/>
    <col min="3054" max="3054" width="6.5703125" style="9" customWidth="1"/>
    <col min="3055" max="3055" width="7.7109375" style="9" bestFit="1" customWidth="1"/>
    <col min="3056" max="3056" width="7.28515625" style="9" customWidth="1"/>
    <col min="3057" max="3057" width="6.5703125" style="9" bestFit="1" customWidth="1"/>
    <col min="3058" max="3058" width="7.28515625" style="9" bestFit="1" customWidth="1"/>
    <col min="3059" max="3059" width="8.140625" style="9" customWidth="1"/>
    <col min="3060" max="3060" width="7.140625" style="9" customWidth="1"/>
    <col min="3061" max="3061" width="7.7109375" style="9" bestFit="1" customWidth="1"/>
    <col min="3062" max="3062" width="7.28515625" style="9" customWidth="1"/>
    <col min="3063" max="3063" width="7" style="9" customWidth="1"/>
    <col min="3064" max="3064" width="7.5703125" style="9" customWidth="1"/>
    <col min="3065" max="3065" width="7.140625" style="9" customWidth="1"/>
    <col min="3066" max="3066" width="7" style="9" customWidth="1"/>
    <col min="3067" max="3067" width="7.5703125" style="9" customWidth="1"/>
    <col min="3068" max="3068" width="7.140625" style="9" customWidth="1"/>
    <col min="3069" max="3085" width="8.7109375" style="9" customWidth="1"/>
    <col min="3086" max="3086" width="36.85546875" style="9" customWidth="1"/>
    <col min="3087" max="3093" width="14.28515625" style="9" customWidth="1"/>
    <col min="3094" max="3308" width="9.140625" style="9"/>
    <col min="3309" max="3309" width="38.5703125" style="9" customWidth="1"/>
    <col min="3310" max="3310" width="6.5703125" style="9" customWidth="1"/>
    <col min="3311" max="3311" width="7.7109375" style="9" bestFit="1" customWidth="1"/>
    <col min="3312" max="3312" width="7.28515625" style="9" customWidth="1"/>
    <col min="3313" max="3313" width="6.5703125" style="9" bestFit="1" customWidth="1"/>
    <col min="3314" max="3314" width="7.28515625" style="9" bestFit="1" customWidth="1"/>
    <col min="3315" max="3315" width="8.140625" style="9" customWidth="1"/>
    <col min="3316" max="3316" width="7.140625" style="9" customWidth="1"/>
    <col min="3317" max="3317" width="7.7109375" style="9" bestFit="1" customWidth="1"/>
    <col min="3318" max="3318" width="7.28515625" style="9" customWidth="1"/>
    <col min="3319" max="3319" width="7" style="9" customWidth="1"/>
    <col min="3320" max="3320" width="7.5703125" style="9" customWidth="1"/>
    <col min="3321" max="3321" width="7.140625" style="9" customWidth="1"/>
    <col min="3322" max="3322" width="7" style="9" customWidth="1"/>
    <col min="3323" max="3323" width="7.5703125" style="9" customWidth="1"/>
    <col min="3324" max="3324" width="7.140625" style="9" customWidth="1"/>
    <col min="3325" max="3341" width="8.7109375" style="9" customWidth="1"/>
    <col min="3342" max="3342" width="36.85546875" style="9" customWidth="1"/>
    <col min="3343" max="3349" width="14.28515625" style="9" customWidth="1"/>
    <col min="3350" max="3564" width="9.140625" style="9"/>
    <col min="3565" max="3565" width="38.5703125" style="9" customWidth="1"/>
    <col min="3566" max="3566" width="6.5703125" style="9" customWidth="1"/>
    <col min="3567" max="3567" width="7.7109375" style="9" bestFit="1" customWidth="1"/>
    <col min="3568" max="3568" width="7.28515625" style="9" customWidth="1"/>
    <col min="3569" max="3569" width="6.5703125" style="9" bestFit="1" customWidth="1"/>
    <col min="3570" max="3570" width="7.28515625" style="9" bestFit="1" customWidth="1"/>
    <col min="3571" max="3571" width="8.140625" style="9" customWidth="1"/>
    <col min="3572" max="3572" width="7.140625" style="9" customWidth="1"/>
    <col min="3573" max="3573" width="7.7109375" style="9" bestFit="1" customWidth="1"/>
    <col min="3574" max="3574" width="7.28515625" style="9" customWidth="1"/>
    <col min="3575" max="3575" width="7" style="9" customWidth="1"/>
    <col min="3576" max="3576" width="7.5703125" style="9" customWidth="1"/>
    <col min="3577" max="3577" width="7.140625" style="9" customWidth="1"/>
    <col min="3578" max="3578" width="7" style="9" customWidth="1"/>
    <col min="3579" max="3579" width="7.5703125" style="9" customWidth="1"/>
    <col min="3580" max="3580" width="7.140625" style="9" customWidth="1"/>
    <col min="3581" max="3597" width="8.7109375" style="9" customWidth="1"/>
    <col min="3598" max="3598" width="36.85546875" style="9" customWidth="1"/>
    <col min="3599" max="3605" width="14.28515625" style="9" customWidth="1"/>
    <col min="3606" max="3820" width="9.140625" style="9"/>
    <col min="3821" max="3821" width="38.5703125" style="9" customWidth="1"/>
    <col min="3822" max="3822" width="6.5703125" style="9" customWidth="1"/>
    <col min="3823" max="3823" width="7.7109375" style="9" bestFit="1" customWidth="1"/>
    <col min="3824" max="3824" width="7.28515625" style="9" customWidth="1"/>
    <col min="3825" max="3825" width="6.5703125" style="9" bestFit="1" customWidth="1"/>
    <col min="3826" max="3826" width="7.28515625" style="9" bestFit="1" customWidth="1"/>
    <col min="3827" max="3827" width="8.140625" style="9" customWidth="1"/>
    <col min="3828" max="3828" width="7.140625" style="9" customWidth="1"/>
    <col min="3829" max="3829" width="7.7109375" style="9" bestFit="1" customWidth="1"/>
    <col min="3830" max="3830" width="7.28515625" style="9" customWidth="1"/>
    <col min="3831" max="3831" width="7" style="9" customWidth="1"/>
    <col min="3832" max="3832" width="7.5703125" style="9" customWidth="1"/>
    <col min="3833" max="3833" width="7.140625" style="9" customWidth="1"/>
    <col min="3834" max="3834" width="7" style="9" customWidth="1"/>
    <col min="3835" max="3835" width="7.5703125" style="9" customWidth="1"/>
    <col min="3836" max="3836" width="7.140625" style="9" customWidth="1"/>
    <col min="3837" max="3853" width="8.7109375" style="9" customWidth="1"/>
    <col min="3854" max="3854" width="36.85546875" style="9" customWidth="1"/>
    <col min="3855" max="3861" width="14.28515625" style="9" customWidth="1"/>
    <col min="3862" max="4076" width="9.140625" style="9"/>
    <col min="4077" max="4077" width="38.5703125" style="9" customWidth="1"/>
    <col min="4078" max="4078" width="6.5703125" style="9" customWidth="1"/>
    <col min="4079" max="4079" width="7.7109375" style="9" bestFit="1" customWidth="1"/>
    <col min="4080" max="4080" width="7.28515625" style="9" customWidth="1"/>
    <col min="4081" max="4081" width="6.5703125" style="9" bestFit="1" customWidth="1"/>
    <col min="4082" max="4082" width="7.28515625" style="9" bestFit="1" customWidth="1"/>
    <col min="4083" max="4083" width="8.140625" style="9" customWidth="1"/>
    <col min="4084" max="4084" width="7.140625" style="9" customWidth="1"/>
    <col min="4085" max="4085" width="7.7109375" style="9" bestFit="1" customWidth="1"/>
    <col min="4086" max="4086" width="7.28515625" style="9" customWidth="1"/>
    <col min="4087" max="4087" width="7" style="9" customWidth="1"/>
    <col min="4088" max="4088" width="7.5703125" style="9" customWidth="1"/>
    <col min="4089" max="4089" width="7.140625" style="9" customWidth="1"/>
    <col min="4090" max="4090" width="7" style="9" customWidth="1"/>
    <col min="4091" max="4091" width="7.5703125" style="9" customWidth="1"/>
    <col min="4092" max="4092" width="7.140625" style="9" customWidth="1"/>
    <col min="4093" max="4109" width="8.7109375" style="9" customWidth="1"/>
    <col min="4110" max="4110" width="36.85546875" style="9" customWidth="1"/>
    <col min="4111" max="4117" width="14.28515625" style="9" customWidth="1"/>
    <col min="4118" max="4332" width="9.140625" style="9"/>
    <col min="4333" max="4333" width="38.5703125" style="9" customWidth="1"/>
    <col min="4334" max="4334" width="6.5703125" style="9" customWidth="1"/>
    <col min="4335" max="4335" width="7.7109375" style="9" bestFit="1" customWidth="1"/>
    <col min="4336" max="4336" width="7.28515625" style="9" customWidth="1"/>
    <col min="4337" max="4337" width="6.5703125" style="9" bestFit="1" customWidth="1"/>
    <col min="4338" max="4338" width="7.28515625" style="9" bestFit="1" customWidth="1"/>
    <col min="4339" max="4339" width="8.140625" style="9" customWidth="1"/>
    <col min="4340" max="4340" width="7.140625" style="9" customWidth="1"/>
    <col min="4341" max="4341" width="7.7109375" style="9" bestFit="1" customWidth="1"/>
    <col min="4342" max="4342" width="7.28515625" style="9" customWidth="1"/>
    <col min="4343" max="4343" width="7" style="9" customWidth="1"/>
    <col min="4344" max="4344" width="7.5703125" style="9" customWidth="1"/>
    <col min="4345" max="4345" width="7.140625" style="9" customWidth="1"/>
    <col min="4346" max="4346" width="7" style="9" customWidth="1"/>
    <col min="4347" max="4347" width="7.5703125" style="9" customWidth="1"/>
    <col min="4348" max="4348" width="7.140625" style="9" customWidth="1"/>
    <col min="4349" max="4365" width="8.7109375" style="9" customWidth="1"/>
    <col min="4366" max="4366" width="36.85546875" style="9" customWidth="1"/>
    <col min="4367" max="4373" width="14.28515625" style="9" customWidth="1"/>
    <col min="4374" max="4588" width="9.140625" style="9"/>
    <col min="4589" max="4589" width="38.5703125" style="9" customWidth="1"/>
    <col min="4590" max="4590" width="6.5703125" style="9" customWidth="1"/>
    <col min="4591" max="4591" width="7.7109375" style="9" bestFit="1" customWidth="1"/>
    <col min="4592" max="4592" width="7.28515625" style="9" customWidth="1"/>
    <col min="4593" max="4593" width="6.5703125" style="9" bestFit="1" customWidth="1"/>
    <col min="4594" max="4594" width="7.28515625" style="9" bestFit="1" customWidth="1"/>
    <col min="4595" max="4595" width="8.140625" style="9" customWidth="1"/>
    <col min="4596" max="4596" width="7.140625" style="9" customWidth="1"/>
    <col min="4597" max="4597" width="7.7109375" style="9" bestFit="1" customWidth="1"/>
    <col min="4598" max="4598" width="7.28515625" style="9" customWidth="1"/>
    <col min="4599" max="4599" width="7" style="9" customWidth="1"/>
    <col min="4600" max="4600" width="7.5703125" style="9" customWidth="1"/>
    <col min="4601" max="4601" width="7.140625" style="9" customWidth="1"/>
    <col min="4602" max="4602" width="7" style="9" customWidth="1"/>
    <col min="4603" max="4603" width="7.5703125" style="9" customWidth="1"/>
    <col min="4604" max="4604" width="7.140625" style="9" customWidth="1"/>
    <col min="4605" max="4621" width="8.7109375" style="9" customWidth="1"/>
    <col min="4622" max="4622" width="36.85546875" style="9" customWidth="1"/>
    <col min="4623" max="4629" width="14.28515625" style="9" customWidth="1"/>
    <col min="4630" max="4844" width="9.140625" style="9"/>
    <col min="4845" max="4845" width="38.5703125" style="9" customWidth="1"/>
    <col min="4846" max="4846" width="6.5703125" style="9" customWidth="1"/>
    <col min="4847" max="4847" width="7.7109375" style="9" bestFit="1" customWidth="1"/>
    <col min="4848" max="4848" width="7.28515625" style="9" customWidth="1"/>
    <col min="4849" max="4849" width="6.5703125" style="9" bestFit="1" customWidth="1"/>
    <col min="4850" max="4850" width="7.28515625" style="9" bestFit="1" customWidth="1"/>
    <col min="4851" max="4851" width="8.140625" style="9" customWidth="1"/>
    <col min="4852" max="4852" width="7.140625" style="9" customWidth="1"/>
    <col min="4853" max="4853" width="7.7109375" style="9" bestFit="1" customWidth="1"/>
    <col min="4854" max="4854" width="7.28515625" style="9" customWidth="1"/>
    <col min="4855" max="4855" width="7" style="9" customWidth="1"/>
    <col min="4856" max="4856" width="7.5703125" style="9" customWidth="1"/>
    <col min="4857" max="4857" width="7.140625" style="9" customWidth="1"/>
    <col min="4858" max="4858" width="7" style="9" customWidth="1"/>
    <col min="4859" max="4859" width="7.5703125" style="9" customWidth="1"/>
    <col min="4860" max="4860" width="7.140625" style="9" customWidth="1"/>
    <col min="4861" max="4877" width="8.7109375" style="9" customWidth="1"/>
    <col min="4878" max="4878" width="36.85546875" style="9" customWidth="1"/>
    <col min="4879" max="4885" width="14.28515625" style="9" customWidth="1"/>
    <col min="4886" max="5100" width="9.140625" style="9"/>
    <col min="5101" max="5101" width="38.5703125" style="9" customWidth="1"/>
    <col min="5102" max="5102" width="6.5703125" style="9" customWidth="1"/>
    <col min="5103" max="5103" width="7.7109375" style="9" bestFit="1" customWidth="1"/>
    <col min="5104" max="5104" width="7.28515625" style="9" customWidth="1"/>
    <col min="5105" max="5105" width="6.5703125" style="9" bestFit="1" customWidth="1"/>
    <col min="5106" max="5106" width="7.28515625" style="9" bestFit="1" customWidth="1"/>
    <col min="5107" max="5107" width="8.140625" style="9" customWidth="1"/>
    <col min="5108" max="5108" width="7.140625" style="9" customWidth="1"/>
    <col min="5109" max="5109" width="7.7109375" style="9" bestFit="1" customWidth="1"/>
    <col min="5110" max="5110" width="7.28515625" style="9" customWidth="1"/>
    <col min="5111" max="5111" width="7" style="9" customWidth="1"/>
    <col min="5112" max="5112" width="7.5703125" style="9" customWidth="1"/>
    <col min="5113" max="5113" width="7.140625" style="9" customWidth="1"/>
    <col min="5114" max="5114" width="7" style="9" customWidth="1"/>
    <col min="5115" max="5115" width="7.5703125" style="9" customWidth="1"/>
    <col min="5116" max="5116" width="7.140625" style="9" customWidth="1"/>
    <col min="5117" max="5133" width="8.7109375" style="9" customWidth="1"/>
    <col min="5134" max="5134" width="36.85546875" style="9" customWidth="1"/>
    <col min="5135" max="5141" width="14.28515625" style="9" customWidth="1"/>
    <col min="5142" max="5356" width="9.140625" style="9"/>
    <col min="5357" max="5357" width="38.5703125" style="9" customWidth="1"/>
    <col min="5358" max="5358" width="6.5703125" style="9" customWidth="1"/>
    <col min="5359" max="5359" width="7.7109375" style="9" bestFit="1" customWidth="1"/>
    <col min="5360" max="5360" width="7.28515625" style="9" customWidth="1"/>
    <col min="5361" max="5361" width="6.5703125" style="9" bestFit="1" customWidth="1"/>
    <col min="5362" max="5362" width="7.28515625" style="9" bestFit="1" customWidth="1"/>
    <col min="5363" max="5363" width="8.140625" style="9" customWidth="1"/>
    <col min="5364" max="5364" width="7.140625" style="9" customWidth="1"/>
    <col min="5365" max="5365" width="7.7109375" style="9" bestFit="1" customWidth="1"/>
    <col min="5366" max="5366" width="7.28515625" style="9" customWidth="1"/>
    <col min="5367" max="5367" width="7" style="9" customWidth="1"/>
    <col min="5368" max="5368" width="7.5703125" style="9" customWidth="1"/>
    <col min="5369" max="5369" width="7.140625" style="9" customWidth="1"/>
    <col min="5370" max="5370" width="7" style="9" customWidth="1"/>
    <col min="5371" max="5371" width="7.5703125" style="9" customWidth="1"/>
    <col min="5372" max="5372" width="7.140625" style="9" customWidth="1"/>
    <col min="5373" max="5389" width="8.7109375" style="9" customWidth="1"/>
    <col min="5390" max="5390" width="36.85546875" style="9" customWidth="1"/>
    <col min="5391" max="5397" width="14.28515625" style="9" customWidth="1"/>
    <col min="5398" max="5612" width="9.140625" style="9"/>
    <col min="5613" max="5613" width="38.5703125" style="9" customWidth="1"/>
    <col min="5614" max="5614" width="6.5703125" style="9" customWidth="1"/>
    <col min="5615" max="5615" width="7.7109375" style="9" bestFit="1" customWidth="1"/>
    <col min="5616" max="5616" width="7.28515625" style="9" customWidth="1"/>
    <col min="5617" max="5617" width="6.5703125" style="9" bestFit="1" customWidth="1"/>
    <col min="5618" max="5618" width="7.28515625" style="9" bestFit="1" customWidth="1"/>
    <col min="5619" max="5619" width="8.140625" style="9" customWidth="1"/>
    <col min="5620" max="5620" width="7.140625" style="9" customWidth="1"/>
    <col min="5621" max="5621" width="7.7109375" style="9" bestFit="1" customWidth="1"/>
    <col min="5622" max="5622" width="7.28515625" style="9" customWidth="1"/>
    <col min="5623" max="5623" width="7" style="9" customWidth="1"/>
    <col min="5624" max="5624" width="7.5703125" style="9" customWidth="1"/>
    <col min="5625" max="5625" width="7.140625" style="9" customWidth="1"/>
    <col min="5626" max="5626" width="7" style="9" customWidth="1"/>
    <col min="5627" max="5627" width="7.5703125" style="9" customWidth="1"/>
    <col min="5628" max="5628" width="7.140625" style="9" customWidth="1"/>
    <col min="5629" max="5645" width="8.7109375" style="9" customWidth="1"/>
    <col min="5646" max="5646" width="36.85546875" style="9" customWidth="1"/>
    <col min="5647" max="5653" width="14.28515625" style="9" customWidth="1"/>
    <col min="5654" max="5868" width="9.140625" style="9"/>
    <col min="5869" max="5869" width="38.5703125" style="9" customWidth="1"/>
    <col min="5870" max="5870" width="6.5703125" style="9" customWidth="1"/>
    <col min="5871" max="5871" width="7.7109375" style="9" bestFit="1" customWidth="1"/>
    <col min="5872" max="5872" width="7.28515625" style="9" customWidth="1"/>
    <col min="5873" max="5873" width="6.5703125" style="9" bestFit="1" customWidth="1"/>
    <col min="5874" max="5874" width="7.28515625" style="9" bestFit="1" customWidth="1"/>
    <col min="5875" max="5875" width="8.140625" style="9" customWidth="1"/>
    <col min="5876" max="5876" width="7.140625" style="9" customWidth="1"/>
    <col min="5877" max="5877" width="7.7109375" style="9" bestFit="1" customWidth="1"/>
    <col min="5878" max="5878" width="7.28515625" style="9" customWidth="1"/>
    <col min="5879" max="5879" width="7" style="9" customWidth="1"/>
    <col min="5880" max="5880" width="7.5703125" style="9" customWidth="1"/>
    <col min="5881" max="5881" width="7.140625" style="9" customWidth="1"/>
    <col min="5882" max="5882" width="7" style="9" customWidth="1"/>
    <col min="5883" max="5883" width="7.5703125" style="9" customWidth="1"/>
    <col min="5884" max="5884" width="7.140625" style="9" customWidth="1"/>
    <col min="5885" max="5901" width="8.7109375" style="9" customWidth="1"/>
    <col min="5902" max="5902" width="36.85546875" style="9" customWidth="1"/>
    <col min="5903" max="5909" width="14.28515625" style="9" customWidth="1"/>
    <col min="5910" max="6124" width="9.140625" style="9"/>
    <col min="6125" max="6125" width="38.5703125" style="9" customWidth="1"/>
    <col min="6126" max="6126" width="6.5703125" style="9" customWidth="1"/>
    <col min="6127" max="6127" width="7.7109375" style="9" bestFit="1" customWidth="1"/>
    <col min="6128" max="6128" width="7.28515625" style="9" customWidth="1"/>
    <col min="6129" max="6129" width="6.5703125" style="9" bestFit="1" customWidth="1"/>
    <col min="6130" max="6130" width="7.28515625" style="9" bestFit="1" customWidth="1"/>
    <col min="6131" max="6131" width="8.140625" style="9" customWidth="1"/>
    <col min="6132" max="6132" width="7.140625" style="9" customWidth="1"/>
    <col min="6133" max="6133" width="7.7109375" style="9" bestFit="1" customWidth="1"/>
    <col min="6134" max="6134" width="7.28515625" style="9" customWidth="1"/>
    <col min="6135" max="6135" width="7" style="9" customWidth="1"/>
    <col min="6136" max="6136" width="7.5703125" style="9" customWidth="1"/>
    <col min="6137" max="6137" width="7.140625" style="9" customWidth="1"/>
    <col min="6138" max="6138" width="7" style="9" customWidth="1"/>
    <col min="6139" max="6139" width="7.5703125" style="9" customWidth="1"/>
    <col min="6140" max="6140" width="7.140625" style="9" customWidth="1"/>
    <col min="6141" max="6157" width="8.7109375" style="9" customWidth="1"/>
    <col min="6158" max="6158" width="36.85546875" style="9" customWidth="1"/>
    <col min="6159" max="6165" width="14.28515625" style="9" customWidth="1"/>
    <col min="6166" max="6380" width="9.140625" style="9"/>
    <col min="6381" max="6381" width="38.5703125" style="9" customWidth="1"/>
    <col min="6382" max="6382" width="6.5703125" style="9" customWidth="1"/>
    <col min="6383" max="6383" width="7.7109375" style="9" bestFit="1" customWidth="1"/>
    <col min="6384" max="6384" width="7.28515625" style="9" customWidth="1"/>
    <col min="6385" max="6385" width="6.5703125" style="9" bestFit="1" customWidth="1"/>
    <col min="6386" max="6386" width="7.28515625" style="9" bestFit="1" customWidth="1"/>
    <col min="6387" max="6387" width="8.140625" style="9" customWidth="1"/>
    <col min="6388" max="6388" width="7.140625" style="9" customWidth="1"/>
    <col min="6389" max="6389" width="7.7109375" style="9" bestFit="1" customWidth="1"/>
    <col min="6390" max="6390" width="7.28515625" style="9" customWidth="1"/>
    <col min="6391" max="6391" width="7" style="9" customWidth="1"/>
    <col min="6392" max="6392" width="7.5703125" style="9" customWidth="1"/>
    <col min="6393" max="6393" width="7.140625" style="9" customWidth="1"/>
    <col min="6394" max="6394" width="7" style="9" customWidth="1"/>
    <col min="6395" max="6395" width="7.5703125" style="9" customWidth="1"/>
    <col min="6396" max="6396" width="7.140625" style="9" customWidth="1"/>
    <col min="6397" max="6413" width="8.7109375" style="9" customWidth="1"/>
    <col min="6414" max="6414" width="36.85546875" style="9" customWidth="1"/>
    <col min="6415" max="6421" width="14.28515625" style="9" customWidth="1"/>
    <col min="6422" max="6636" width="9.140625" style="9"/>
    <col min="6637" max="6637" width="38.5703125" style="9" customWidth="1"/>
    <col min="6638" max="6638" width="6.5703125" style="9" customWidth="1"/>
    <col min="6639" max="6639" width="7.7109375" style="9" bestFit="1" customWidth="1"/>
    <col min="6640" max="6640" width="7.28515625" style="9" customWidth="1"/>
    <col min="6641" max="6641" width="6.5703125" style="9" bestFit="1" customWidth="1"/>
    <col min="6642" max="6642" width="7.28515625" style="9" bestFit="1" customWidth="1"/>
    <col min="6643" max="6643" width="8.140625" style="9" customWidth="1"/>
    <col min="6644" max="6644" width="7.140625" style="9" customWidth="1"/>
    <col min="6645" max="6645" width="7.7109375" style="9" bestFit="1" customWidth="1"/>
    <col min="6646" max="6646" width="7.28515625" style="9" customWidth="1"/>
    <col min="6647" max="6647" width="7" style="9" customWidth="1"/>
    <col min="6648" max="6648" width="7.5703125" style="9" customWidth="1"/>
    <col min="6649" max="6649" width="7.140625" style="9" customWidth="1"/>
    <col min="6650" max="6650" width="7" style="9" customWidth="1"/>
    <col min="6651" max="6651" width="7.5703125" style="9" customWidth="1"/>
    <col min="6652" max="6652" width="7.140625" style="9" customWidth="1"/>
    <col min="6653" max="6669" width="8.7109375" style="9" customWidth="1"/>
    <col min="6670" max="6670" width="36.85546875" style="9" customWidth="1"/>
    <col min="6671" max="6677" width="14.28515625" style="9" customWidth="1"/>
    <col min="6678" max="6892" width="9.140625" style="9"/>
    <col min="6893" max="6893" width="38.5703125" style="9" customWidth="1"/>
    <col min="6894" max="6894" width="6.5703125" style="9" customWidth="1"/>
    <col min="6895" max="6895" width="7.7109375" style="9" bestFit="1" customWidth="1"/>
    <col min="6896" max="6896" width="7.28515625" style="9" customWidth="1"/>
    <col min="6897" max="6897" width="6.5703125" style="9" bestFit="1" customWidth="1"/>
    <col min="6898" max="6898" width="7.28515625" style="9" bestFit="1" customWidth="1"/>
    <col min="6899" max="6899" width="8.140625" style="9" customWidth="1"/>
    <col min="6900" max="6900" width="7.140625" style="9" customWidth="1"/>
    <col min="6901" max="6901" width="7.7109375" style="9" bestFit="1" customWidth="1"/>
    <col min="6902" max="6902" width="7.28515625" style="9" customWidth="1"/>
    <col min="6903" max="6903" width="7" style="9" customWidth="1"/>
    <col min="6904" max="6904" width="7.5703125" style="9" customWidth="1"/>
    <col min="6905" max="6905" width="7.140625" style="9" customWidth="1"/>
    <col min="6906" max="6906" width="7" style="9" customWidth="1"/>
    <col min="6907" max="6907" width="7.5703125" style="9" customWidth="1"/>
    <col min="6908" max="6908" width="7.140625" style="9" customWidth="1"/>
    <col min="6909" max="6925" width="8.7109375" style="9" customWidth="1"/>
    <col min="6926" max="6926" width="36.85546875" style="9" customWidth="1"/>
    <col min="6927" max="6933" width="14.28515625" style="9" customWidth="1"/>
    <col min="6934" max="7148" width="9.140625" style="9"/>
    <col min="7149" max="7149" width="38.5703125" style="9" customWidth="1"/>
    <col min="7150" max="7150" width="6.5703125" style="9" customWidth="1"/>
    <col min="7151" max="7151" width="7.7109375" style="9" bestFit="1" customWidth="1"/>
    <col min="7152" max="7152" width="7.28515625" style="9" customWidth="1"/>
    <col min="7153" max="7153" width="6.5703125" style="9" bestFit="1" customWidth="1"/>
    <col min="7154" max="7154" width="7.28515625" style="9" bestFit="1" customWidth="1"/>
    <col min="7155" max="7155" width="8.140625" style="9" customWidth="1"/>
    <col min="7156" max="7156" width="7.140625" style="9" customWidth="1"/>
    <col min="7157" max="7157" width="7.7109375" style="9" bestFit="1" customWidth="1"/>
    <col min="7158" max="7158" width="7.28515625" style="9" customWidth="1"/>
    <col min="7159" max="7159" width="7" style="9" customWidth="1"/>
    <col min="7160" max="7160" width="7.5703125" style="9" customWidth="1"/>
    <col min="7161" max="7161" width="7.140625" style="9" customWidth="1"/>
    <col min="7162" max="7162" width="7" style="9" customWidth="1"/>
    <col min="7163" max="7163" width="7.5703125" style="9" customWidth="1"/>
    <col min="7164" max="7164" width="7.140625" style="9" customWidth="1"/>
    <col min="7165" max="7181" width="8.7109375" style="9" customWidth="1"/>
    <col min="7182" max="7182" width="36.85546875" style="9" customWidth="1"/>
    <col min="7183" max="7189" width="14.28515625" style="9" customWidth="1"/>
    <col min="7190" max="7404" width="9.140625" style="9"/>
    <col min="7405" max="7405" width="38.5703125" style="9" customWidth="1"/>
    <col min="7406" max="7406" width="6.5703125" style="9" customWidth="1"/>
    <col min="7407" max="7407" width="7.7109375" style="9" bestFit="1" customWidth="1"/>
    <col min="7408" max="7408" width="7.28515625" style="9" customWidth="1"/>
    <col min="7409" max="7409" width="6.5703125" style="9" bestFit="1" customWidth="1"/>
    <col min="7410" max="7410" width="7.28515625" style="9" bestFit="1" customWidth="1"/>
    <col min="7411" max="7411" width="8.140625" style="9" customWidth="1"/>
    <col min="7412" max="7412" width="7.140625" style="9" customWidth="1"/>
    <col min="7413" max="7413" width="7.7109375" style="9" bestFit="1" customWidth="1"/>
    <col min="7414" max="7414" width="7.28515625" style="9" customWidth="1"/>
    <col min="7415" max="7415" width="7" style="9" customWidth="1"/>
    <col min="7416" max="7416" width="7.5703125" style="9" customWidth="1"/>
    <col min="7417" max="7417" width="7.140625" style="9" customWidth="1"/>
    <col min="7418" max="7418" width="7" style="9" customWidth="1"/>
    <col min="7419" max="7419" width="7.5703125" style="9" customWidth="1"/>
    <col min="7420" max="7420" width="7.140625" style="9" customWidth="1"/>
    <col min="7421" max="7437" width="8.7109375" style="9" customWidth="1"/>
    <col min="7438" max="7438" width="36.85546875" style="9" customWidth="1"/>
    <col min="7439" max="7445" width="14.28515625" style="9" customWidth="1"/>
    <col min="7446" max="7660" width="9.140625" style="9"/>
    <col min="7661" max="7661" width="38.5703125" style="9" customWidth="1"/>
    <col min="7662" max="7662" width="6.5703125" style="9" customWidth="1"/>
    <col min="7663" max="7663" width="7.7109375" style="9" bestFit="1" customWidth="1"/>
    <col min="7664" max="7664" width="7.28515625" style="9" customWidth="1"/>
    <col min="7665" max="7665" width="6.5703125" style="9" bestFit="1" customWidth="1"/>
    <col min="7666" max="7666" width="7.28515625" style="9" bestFit="1" customWidth="1"/>
    <col min="7667" max="7667" width="8.140625" style="9" customWidth="1"/>
    <col min="7668" max="7668" width="7.140625" style="9" customWidth="1"/>
    <col min="7669" max="7669" width="7.7109375" style="9" bestFit="1" customWidth="1"/>
    <col min="7670" max="7670" width="7.28515625" style="9" customWidth="1"/>
    <col min="7671" max="7671" width="7" style="9" customWidth="1"/>
    <col min="7672" max="7672" width="7.5703125" style="9" customWidth="1"/>
    <col min="7673" max="7673" width="7.140625" style="9" customWidth="1"/>
    <col min="7674" max="7674" width="7" style="9" customWidth="1"/>
    <col min="7675" max="7675" width="7.5703125" style="9" customWidth="1"/>
    <col min="7676" max="7676" width="7.140625" style="9" customWidth="1"/>
    <col min="7677" max="7693" width="8.7109375" style="9" customWidth="1"/>
    <col min="7694" max="7694" width="36.85546875" style="9" customWidth="1"/>
    <col min="7695" max="7701" width="14.28515625" style="9" customWidth="1"/>
    <col min="7702" max="7916" width="9.140625" style="9"/>
    <col min="7917" max="7917" width="38.5703125" style="9" customWidth="1"/>
    <col min="7918" max="7918" width="6.5703125" style="9" customWidth="1"/>
    <col min="7919" max="7919" width="7.7109375" style="9" bestFit="1" customWidth="1"/>
    <col min="7920" max="7920" width="7.28515625" style="9" customWidth="1"/>
    <col min="7921" max="7921" width="6.5703125" style="9" bestFit="1" customWidth="1"/>
    <col min="7922" max="7922" width="7.28515625" style="9" bestFit="1" customWidth="1"/>
    <col min="7923" max="7923" width="8.140625" style="9" customWidth="1"/>
    <col min="7924" max="7924" width="7.140625" style="9" customWidth="1"/>
    <col min="7925" max="7925" width="7.7109375" style="9" bestFit="1" customWidth="1"/>
    <col min="7926" max="7926" width="7.28515625" style="9" customWidth="1"/>
    <col min="7927" max="7927" width="7" style="9" customWidth="1"/>
    <col min="7928" max="7928" width="7.5703125" style="9" customWidth="1"/>
    <col min="7929" max="7929" width="7.140625" style="9" customWidth="1"/>
    <col min="7930" max="7930" width="7" style="9" customWidth="1"/>
    <col min="7931" max="7931" width="7.5703125" style="9" customWidth="1"/>
    <col min="7932" max="7932" width="7.140625" style="9" customWidth="1"/>
    <col min="7933" max="7949" width="8.7109375" style="9" customWidth="1"/>
    <col min="7950" max="7950" width="36.85546875" style="9" customWidth="1"/>
    <col min="7951" max="7957" width="14.28515625" style="9" customWidth="1"/>
    <col min="7958" max="8172" width="9.140625" style="9"/>
    <col min="8173" max="8173" width="38.5703125" style="9" customWidth="1"/>
    <col min="8174" max="8174" width="6.5703125" style="9" customWidth="1"/>
    <col min="8175" max="8175" width="7.7109375" style="9" bestFit="1" customWidth="1"/>
    <col min="8176" max="8176" width="7.28515625" style="9" customWidth="1"/>
    <col min="8177" max="8177" width="6.5703125" style="9" bestFit="1" customWidth="1"/>
    <col min="8178" max="8178" width="7.28515625" style="9" bestFit="1" customWidth="1"/>
    <col min="8179" max="8179" width="8.140625" style="9" customWidth="1"/>
    <col min="8180" max="8180" width="7.140625" style="9" customWidth="1"/>
    <col min="8181" max="8181" width="7.7109375" style="9" bestFit="1" customWidth="1"/>
    <col min="8182" max="8182" width="7.28515625" style="9" customWidth="1"/>
    <col min="8183" max="8183" width="7" style="9" customWidth="1"/>
    <col min="8184" max="8184" width="7.5703125" style="9" customWidth="1"/>
    <col min="8185" max="8185" width="7.140625" style="9" customWidth="1"/>
    <col min="8186" max="8186" width="7" style="9" customWidth="1"/>
    <col min="8187" max="8187" width="7.5703125" style="9" customWidth="1"/>
    <col min="8188" max="8188" width="7.140625" style="9" customWidth="1"/>
    <col min="8189" max="8205" width="8.7109375" style="9" customWidth="1"/>
    <col min="8206" max="8206" width="36.85546875" style="9" customWidth="1"/>
    <col min="8207" max="8213" width="14.28515625" style="9" customWidth="1"/>
    <col min="8214" max="8428" width="9.140625" style="9"/>
    <col min="8429" max="8429" width="38.5703125" style="9" customWidth="1"/>
    <col min="8430" max="8430" width="6.5703125" style="9" customWidth="1"/>
    <col min="8431" max="8431" width="7.7109375" style="9" bestFit="1" customWidth="1"/>
    <col min="8432" max="8432" width="7.28515625" style="9" customWidth="1"/>
    <col min="8433" max="8433" width="6.5703125" style="9" bestFit="1" customWidth="1"/>
    <col min="8434" max="8434" width="7.28515625" style="9" bestFit="1" customWidth="1"/>
    <col min="8435" max="8435" width="8.140625" style="9" customWidth="1"/>
    <col min="8436" max="8436" width="7.140625" style="9" customWidth="1"/>
    <col min="8437" max="8437" width="7.7109375" style="9" bestFit="1" customWidth="1"/>
    <col min="8438" max="8438" width="7.28515625" style="9" customWidth="1"/>
    <col min="8439" max="8439" width="7" style="9" customWidth="1"/>
    <col min="8440" max="8440" width="7.5703125" style="9" customWidth="1"/>
    <col min="8441" max="8441" width="7.140625" style="9" customWidth="1"/>
    <col min="8442" max="8442" width="7" style="9" customWidth="1"/>
    <col min="8443" max="8443" width="7.5703125" style="9" customWidth="1"/>
    <col min="8444" max="8444" width="7.140625" style="9" customWidth="1"/>
    <col min="8445" max="8461" width="8.7109375" style="9" customWidth="1"/>
    <col min="8462" max="8462" width="36.85546875" style="9" customWidth="1"/>
    <col min="8463" max="8469" width="14.28515625" style="9" customWidth="1"/>
    <col min="8470" max="8684" width="9.140625" style="9"/>
    <col min="8685" max="8685" width="38.5703125" style="9" customWidth="1"/>
    <col min="8686" max="8686" width="6.5703125" style="9" customWidth="1"/>
    <col min="8687" max="8687" width="7.7109375" style="9" bestFit="1" customWidth="1"/>
    <col min="8688" max="8688" width="7.28515625" style="9" customWidth="1"/>
    <col min="8689" max="8689" width="6.5703125" style="9" bestFit="1" customWidth="1"/>
    <col min="8690" max="8690" width="7.28515625" style="9" bestFit="1" customWidth="1"/>
    <col min="8691" max="8691" width="8.140625" style="9" customWidth="1"/>
    <col min="8692" max="8692" width="7.140625" style="9" customWidth="1"/>
    <col min="8693" max="8693" width="7.7109375" style="9" bestFit="1" customWidth="1"/>
    <col min="8694" max="8694" width="7.28515625" style="9" customWidth="1"/>
    <col min="8695" max="8695" width="7" style="9" customWidth="1"/>
    <col min="8696" max="8696" width="7.5703125" style="9" customWidth="1"/>
    <col min="8697" max="8697" width="7.140625" style="9" customWidth="1"/>
    <col min="8698" max="8698" width="7" style="9" customWidth="1"/>
    <col min="8699" max="8699" width="7.5703125" style="9" customWidth="1"/>
    <col min="8700" max="8700" width="7.140625" style="9" customWidth="1"/>
    <col min="8701" max="8717" width="8.7109375" style="9" customWidth="1"/>
    <col min="8718" max="8718" width="36.85546875" style="9" customWidth="1"/>
    <col min="8719" max="8725" width="14.28515625" style="9" customWidth="1"/>
    <col min="8726" max="8940" width="9.140625" style="9"/>
    <col min="8941" max="8941" width="38.5703125" style="9" customWidth="1"/>
    <col min="8942" max="8942" width="6.5703125" style="9" customWidth="1"/>
    <col min="8943" max="8943" width="7.7109375" style="9" bestFit="1" customWidth="1"/>
    <col min="8944" max="8944" width="7.28515625" style="9" customWidth="1"/>
    <col min="8945" max="8945" width="6.5703125" style="9" bestFit="1" customWidth="1"/>
    <col min="8946" max="8946" width="7.28515625" style="9" bestFit="1" customWidth="1"/>
    <col min="8947" max="8947" width="8.140625" style="9" customWidth="1"/>
    <col min="8948" max="8948" width="7.140625" style="9" customWidth="1"/>
    <col min="8949" max="8949" width="7.7109375" style="9" bestFit="1" customWidth="1"/>
    <col min="8950" max="8950" width="7.28515625" style="9" customWidth="1"/>
    <col min="8951" max="8951" width="7" style="9" customWidth="1"/>
    <col min="8952" max="8952" width="7.5703125" style="9" customWidth="1"/>
    <col min="8953" max="8953" width="7.140625" style="9" customWidth="1"/>
    <col min="8954" max="8954" width="7" style="9" customWidth="1"/>
    <col min="8955" max="8955" width="7.5703125" style="9" customWidth="1"/>
    <col min="8956" max="8956" width="7.140625" style="9" customWidth="1"/>
    <col min="8957" max="8973" width="8.7109375" style="9" customWidth="1"/>
    <col min="8974" max="8974" width="36.85546875" style="9" customWidth="1"/>
    <col min="8975" max="8981" width="14.28515625" style="9" customWidth="1"/>
    <col min="8982" max="9196" width="9.140625" style="9"/>
    <col min="9197" max="9197" width="38.5703125" style="9" customWidth="1"/>
    <col min="9198" max="9198" width="6.5703125" style="9" customWidth="1"/>
    <col min="9199" max="9199" width="7.7109375" style="9" bestFit="1" customWidth="1"/>
    <col min="9200" max="9200" width="7.28515625" style="9" customWidth="1"/>
    <col min="9201" max="9201" width="6.5703125" style="9" bestFit="1" customWidth="1"/>
    <col min="9202" max="9202" width="7.28515625" style="9" bestFit="1" customWidth="1"/>
    <col min="9203" max="9203" width="8.140625" style="9" customWidth="1"/>
    <col min="9204" max="9204" width="7.140625" style="9" customWidth="1"/>
    <col min="9205" max="9205" width="7.7109375" style="9" bestFit="1" customWidth="1"/>
    <col min="9206" max="9206" width="7.28515625" style="9" customWidth="1"/>
    <col min="9207" max="9207" width="7" style="9" customWidth="1"/>
    <col min="9208" max="9208" width="7.5703125" style="9" customWidth="1"/>
    <col min="9209" max="9209" width="7.140625" style="9" customWidth="1"/>
    <col min="9210" max="9210" width="7" style="9" customWidth="1"/>
    <col min="9211" max="9211" width="7.5703125" style="9" customWidth="1"/>
    <col min="9212" max="9212" width="7.140625" style="9" customWidth="1"/>
    <col min="9213" max="9229" width="8.7109375" style="9" customWidth="1"/>
    <col min="9230" max="9230" width="36.85546875" style="9" customWidth="1"/>
    <col min="9231" max="9237" width="14.28515625" style="9" customWidth="1"/>
    <col min="9238" max="9452" width="9.140625" style="9"/>
    <col min="9453" max="9453" width="38.5703125" style="9" customWidth="1"/>
    <col min="9454" max="9454" width="6.5703125" style="9" customWidth="1"/>
    <col min="9455" max="9455" width="7.7109375" style="9" bestFit="1" customWidth="1"/>
    <col min="9456" max="9456" width="7.28515625" style="9" customWidth="1"/>
    <col min="9457" max="9457" width="6.5703125" style="9" bestFit="1" customWidth="1"/>
    <col min="9458" max="9458" width="7.28515625" style="9" bestFit="1" customWidth="1"/>
    <col min="9459" max="9459" width="8.140625" style="9" customWidth="1"/>
    <col min="9460" max="9460" width="7.140625" style="9" customWidth="1"/>
    <col min="9461" max="9461" width="7.7109375" style="9" bestFit="1" customWidth="1"/>
    <col min="9462" max="9462" width="7.28515625" style="9" customWidth="1"/>
    <col min="9463" max="9463" width="7" style="9" customWidth="1"/>
    <col min="9464" max="9464" width="7.5703125" style="9" customWidth="1"/>
    <col min="9465" max="9465" width="7.140625" style="9" customWidth="1"/>
    <col min="9466" max="9466" width="7" style="9" customWidth="1"/>
    <col min="9467" max="9467" width="7.5703125" style="9" customWidth="1"/>
    <col min="9468" max="9468" width="7.140625" style="9" customWidth="1"/>
    <col min="9469" max="9485" width="8.7109375" style="9" customWidth="1"/>
    <col min="9486" max="9486" width="36.85546875" style="9" customWidth="1"/>
    <col min="9487" max="9493" width="14.28515625" style="9" customWidth="1"/>
    <col min="9494" max="9708" width="9.140625" style="9"/>
    <col min="9709" max="9709" width="38.5703125" style="9" customWidth="1"/>
    <col min="9710" max="9710" width="6.5703125" style="9" customWidth="1"/>
    <col min="9711" max="9711" width="7.7109375" style="9" bestFit="1" customWidth="1"/>
    <col min="9712" max="9712" width="7.28515625" style="9" customWidth="1"/>
    <col min="9713" max="9713" width="6.5703125" style="9" bestFit="1" customWidth="1"/>
    <col min="9714" max="9714" width="7.28515625" style="9" bestFit="1" customWidth="1"/>
    <col min="9715" max="9715" width="8.140625" style="9" customWidth="1"/>
    <col min="9716" max="9716" width="7.140625" style="9" customWidth="1"/>
    <col min="9717" max="9717" width="7.7109375" style="9" bestFit="1" customWidth="1"/>
    <col min="9718" max="9718" width="7.28515625" style="9" customWidth="1"/>
    <col min="9719" max="9719" width="7" style="9" customWidth="1"/>
    <col min="9720" max="9720" width="7.5703125" style="9" customWidth="1"/>
    <col min="9721" max="9721" width="7.140625" style="9" customWidth="1"/>
    <col min="9722" max="9722" width="7" style="9" customWidth="1"/>
    <col min="9723" max="9723" width="7.5703125" style="9" customWidth="1"/>
    <col min="9724" max="9724" width="7.140625" style="9" customWidth="1"/>
    <col min="9725" max="9741" width="8.7109375" style="9" customWidth="1"/>
    <col min="9742" max="9742" width="36.85546875" style="9" customWidth="1"/>
    <col min="9743" max="9749" width="14.28515625" style="9" customWidth="1"/>
    <col min="9750" max="9964" width="9.140625" style="9"/>
    <col min="9965" max="9965" width="38.5703125" style="9" customWidth="1"/>
    <col min="9966" max="9966" width="6.5703125" style="9" customWidth="1"/>
    <col min="9967" max="9967" width="7.7109375" style="9" bestFit="1" customWidth="1"/>
    <col min="9968" max="9968" width="7.28515625" style="9" customWidth="1"/>
    <col min="9969" max="9969" width="6.5703125" style="9" bestFit="1" customWidth="1"/>
    <col min="9970" max="9970" width="7.28515625" style="9" bestFit="1" customWidth="1"/>
    <col min="9971" max="9971" width="8.140625" style="9" customWidth="1"/>
    <col min="9972" max="9972" width="7.140625" style="9" customWidth="1"/>
    <col min="9973" max="9973" width="7.7109375" style="9" bestFit="1" customWidth="1"/>
    <col min="9974" max="9974" width="7.28515625" style="9" customWidth="1"/>
    <col min="9975" max="9975" width="7" style="9" customWidth="1"/>
    <col min="9976" max="9976" width="7.5703125" style="9" customWidth="1"/>
    <col min="9977" max="9977" width="7.140625" style="9" customWidth="1"/>
    <col min="9978" max="9978" width="7" style="9" customWidth="1"/>
    <col min="9979" max="9979" width="7.5703125" style="9" customWidth="1"/>
    <col min="9980" max="9980" width="7.140625" style="9" customWidth="1"/>
    <col min="9981" max="9997" width="8.7109375" style="9" customWidth="1"/>
    <col min="9998" max="9998" width="36.85546875" style="9" customWidth="1"/>
    <col min="9999" max="10005" width="14.28515625" style="9" customWidth="1"/>
    <col min="10006" max="10220" width="9.140625" style="9"/>
    <col min="10221" max="10221" width="38.5703125" style="9" customWidth="1"/>
    <col min="10222" max="10222" width="6.5703125" style="9" customWidth="1"/>
    <col min="10223" max="10223" width="7.7109375" style="9" bestFit="1" customWidth="1"/>
    <col min="10224" max="10224" width="7.28515625" style="9" customWidth="1"/>
    <col min="10225" max="10225" width="6.5703125" style="9" bestFit="1" customWidth="1"/>
    <col min="10226" max="10226" width="7.28515625" style="9" bestFit="1" customWidth="1"/>
    <col min="10227" max="10227" width="8.140625" style="9" customWidth="1"/>
    <col min="10228" max="10228" width="7.140625" style="9" customWidth="1"/>
    <col min="10229" max="10229" width="7.7109375" style="9" bestFit="1" customWidth="1"/>
    <col min="10230" max="10230" width="7.28515625" style="9" customWidth="1"/>
    <col min="10231" max="10231" width="7" style="9" customWidth="1"/>
    <col min="10232" max="10232" width="7.5703125" style="9" customWidth="1"/>
    <col min="10233" max="10233" width="7.140625" style="9" customWidth="1"/>
    <col min="10234" max="10234" width="7" style="9" customWidth="1"/>
    <col min="10235" max="10235" width="7.5703125" style="9" customWidth="1"/>
    <col min="10236" max="10236" width="7.140625" style="9" customWidth="1"/>
    <col min="10237" max="10253" width="8.7109375" style="9" customWidth="1"/>
    <col min="10254" max="10254" width="36.85546875" style="9" customWidth="1"/>
    <col min="10255" max="10261" width="14.28515625" style="9" customWidth="1"/>
    <col min="10262" max="10476" width="9.140625" style="9"/>
    <col min="10477" max="10477" width="38.5703125" style="9" customWidth="1"/>
    <col min="10478" max="10478" width="6.5703125" style="9" customWidth="1"/>
    <col min="10479" max="10479" width="7.7109375" style="9" bestFit="1" customWidth="1"/>
    <col min="10480" max="10480" width="7.28515625" style="9" customWidth="1"/>
    <col min="10481" max="10481" width="6.5703125" style="9" bestFit="1" customWidth="1"/>
    <col min="10482" max="10482" width="7.28515625" style="9" bestFit="1" customWidth="1"/>
    <col min="10483" max="10483" width="8.140625" style="9" customWidth="1"/>
    <col min="10484" max="10484" width="7.140625" style="9" customWidth="1"/>
    <col min="10485" max="10485" width="7.7109375" style="9" bestFit="1" customWidth="1"/>
    <col min="10486" max="10486" width="7.28515625" style="9" customWidth="1"/>
    <col min="10487" max="10487" width="7" style="9" customWidth="1"/>
    <col min="10488" max="10488" width="7.5703125" style="9" customWidth="1"/>
    <col min="10489" max="10489" width="7.140625" style="9" customWidth="1"/>
    <col min="10490" max="10490" width="7" style="9" customWidth="1"/>
    <col min="10491" max="10491" width="7.5703125" style="9" customWidth="1"/>
    <col min="10492" max="10492" width="7.140625" style="9" customWidth="1"/>
    <col min="10493" max="10509" width="8.7109375" style="9" customWidth="1"/>
    <col min="10510" max="10510" width="36.85546875" style="9" customWidth="1"/>
    <col min="10511" max="10517" width="14.28515625" style="9" customWidth="1"/>
    <col min="10518" max="10732" width="9.140625" style="9"/>
    <col min="10733" max="10733" width="38.5703125" style="9" customWidth="1"/>
    <col min="10734" max="10734" width="6.5703125" style="9" customWidth="1"/>
    <col min="10735" max="10735" width="7.7109375" style="9" bestFit="1" customWidth="1"/>
    <col min="10736" max="10736" width="7.28515625" style="9" customWidth="1"/>
    <col min="10737" max="10737" width="6.5703125" style="9" bestFit="1" customWidth="1"/>
    <col min="10738" max="10738" width="7.28515625" style="9" bestFit="1" customWidth="1"/>
    <col min="10739" max="10739" width="8.140625" style="9" customWidth="1"/>
    <col min="10740" max="10740" width="7.140625" style="9" customWidth="1"/>
    <col min="10741" max="10741" width="7.7109375" style="9" bestFit="1" customWidth="1"/>
    <col min="10742" max="10742" width="7.28515625" style="9" customWidth="1"/>
    <col min="10743" max="10743" width="7" style="9" customWidth="1"/>
    <col min="10744" max="10744" width="7.5703125" style="9" customWidth="1"/>
    <col min="10745" max="10745" width="7.140625" style="9" customWidth="1"/>
    <col min="10746" max="10746" width="7" style="9" customWidth="1"/>
    <col min="10747" max="10747" width="7.5703125" style="9" customWidth="1"/>
    <col min="10748" max="10748" width="7.140625" style="9" customWidth="1"/>
    <col min="10749" max="10765" width="8.7109375" style="9" customWidth="1"/>
    <col min="10766" max="10766" width="36.85546875" style="9" customWidth="1"/>
    <col min="10767" max="10773" width="14.28515625" style="9" customWidth="1"/>
    <col min="10774" max="10988" width="9.140625" style="9"/>
    <col min="10989" max="10989" width="38.5703125" style="9" customWidth="1"/>
    <col min="10990" max="10990" width="6.5703125" style="9" customWidth="1"/>
    <col min="10991" max="10991" width="7.7109375" style="9" bestFit="1" customWidth="1"/>
    <col min="10992" max="10992" width="7.28515625" style="9" customWidth="1"/>
    <col min="10993" max="10993" width="6.5703125" style="9" bestFit="1" customWidth="1"/>
    <col min="10994" max="10994" width="7.28515625" style="9" bestFit="1" customWidth="1"/>
    <col min="10995" max="10995" width="8.140625" style="9" customWidth="1"/>
    <col min="10996" max="10996" width="7.140625" style="9" customWidth="1"/>
    <col min="10997" max="10997" width="7.7109375" style="9" bestFit="1" customWidth="1"/>
    <col min="10998" max="10998" width="7.28515625" style="9" customWidth="1"/>
    <col min="10999" max="10999" width="7" style="9" customWidth="1"/>
    <col min="11000" max="11000" width="7.5703125" style="9" customWidth="1"/>
    <col min="11001" max="11001" width="7.140625" style="9" customWidth="1"/>
    <col min="11002" max="11002" width="7" style="9" customWidth="1"/>
    <col min="11003" max="11003" width="7.5703125" style="9" customWidth="1"/>
    <col min="11004" max="11004" width="7.140625" style="9" customWidth="1"/>
    <col min="11005" max="11021" width="8.7109375" style="9" customWidth="1"/>
    <col min="11022" max="11022" width="36.85546875" style="9" customWidth="1"/>
    <col min="11023" max="11029" width="14.28515625" style="9" customWidth="1"/>
    <col min="11030" max="11244" width="9.140625" style="9"/>
    <col min="11245" max="11245" width="38.5703125" style="9" customWidth="1"/>
    <col min="11246" max="11246" width="6.5703125" style="9" customWidth="1"/>
    <col min="11247" max="11247" width="7.7109375" style="9" bestFit="1" customWidth="1"/>
    <col min="11248" max="11248" width="7.28515625" style="9" customWidth="1"/>
    <col min="11249" max="11249" width="6.5703125" style="9" bestFit="1" customWidth="1"/>
    <col min="11250" max="11250" width="7.28515625" style="9" bestFit="1" customWidth="1"/>
    <col min="11251" max="11251" width="8.140625" style="9" customWidth="1"/>
    <col min="11252" max="11252" width="7.140625" style="9" customWidth="1"/>
    <col min="11253" max="11253" width="7.7109375" style="9" bestFit="1" customWidth="1"/>
    <col min="11254" max="11254" width="7.28515625" style="9" customWidth="1"/>
    <col min="11255" max="11255" width="7" style="9" customWidth="1"/>
    <col min="11256" max="11256" width="7.5703125" style="9" customWidth="1"/>
    <col min="11257" max="11257" width="7.140625" style="9" customWidth="1"/>
    <col min="11258" max="11258" width="7" style="9" customWidth="1"/>
    <col min="11259" max="11259" width="7.5703125" style="9" customWidth="1"/>
    <col min="11260" max="11260" width="7.140625" style="9" customWidth="1"/>
    <col min="11261" max="11277" width="8.7109375" style="9" customWidth="1"/>
    <col min="11278" max="11278" width="36.85546875" style="9" customWidth="1"/>
    <col min="11279" max="11285" width="14.28515625" style="9" customWidth="1"/>
    <col min="11286" max="11500" width="9.140625" style="9"/>
    <col min="11501" max="11501" width="38.5703125" style="9" customWidth="1"/>
    <col min="11502" max="11502" width="6.5703125" style="9" customWidth="1"/>
    <col min="11503" max="11503" width="7.7109375" style="9" bestFit="1" customWidth="1"/>
    <col min="11504" max="11504" width="7.28515625" style="9" customWidth="1"/>
    <col min="11505" max="11505" width="6.5703125" style="9" bestFit="1" customWidth="1"/>
    <col min="11506" max="11506" width="7.28515625" style="9" bestFit="1" customWidth="1"/>
    <col min="11507" max="11507" width="8.140625" style="9" customWidth="1"/>
    <col min="11508" max="11508" width="7.140625" style="9" customWidth="1"/>
    <col min="11509" max="11509" width="7.7109375" style="9" bestFit="1" customWidth="1"/>
    <col min="11510" max="11510" width="7.28515625" style="9" customWidth="1"/>
    <col min="11511" max="11511" width="7" style="9" customWidth="1"/>
    <col min="11512" max="11512" width="7.5703125" style="9" customWidth="1"/>
    <col min="11513" max="11513" width="7.140625" style="9" customWidth="1"/>
    <col min="11514" max="11514" width="7" style="9" customWidth="1"/>
    <col min="11515" max="11515" width="7.5703125" style="9" customWidth="1"/>
    <col min="11516" max="11516" width="7.140625" style="9" customWidth="1"/>
    <col min="11517" max="11533" width="8.7109375" style="9" customWidth="1"/>
    <col min="11534" max="11534" width="36.85546875" style="9" customWidth="1"/>
    <col min="11535" max="11541" width="14.28515625" style="9" customWidth="1"/>
    <col min="11542" max="11756" width="9.140625" style="9"/>
    <col min="11757" max="11757" width="38.5703125" style="9" customWidth="1"/>
    <col min="11758" max="11758" width="6.5703125" style="9" customWidth="1"/>
    <col min="11759" max="11759" width="7.7109375" style="9" bestFit="1" customWidth="1"/>
    <col min="11760" max="11760" width="7.28515625" style="9" customWidth="1"/>
    <col min="11761" max="11761" width="6.5703125" style="9" bestFit="1" customWidth="1"/>
    <col min="11762" max="11762" width="7.28515625" style="9" bestFit="1" customWidth="1"/>
    <col min="11763" max="11763" width="8.140625" style="9" customWidth="1"/>
    <col min="11764" max="11764" width="7.140625" style="9" customWidth="1"/>
    <col min="11765" max="11765" width="7.7109375" style="9" bestFit="1" customWidth="1"/>
    <col min="11766" max="11766" width="7.28515625" style="9" customWidth="1"/>
    <col min="11767" max="11767" width="7" style="9" customWidth="1"/>
    <col min="11768" max="11768" width="7.5703125" style="9" customWidth="1"/>
    <col min="11769" max="11769" width="7.140625" style="9" customWidth="1"/>
    <col min="11770" max="11770" width="7" style="9" customWidth="1"/>
    <col min="11771" max="11771" width="7.5703125" style="9" customWidth="1"/>
    <col min="11772" max="11772" width="7.140625" style="9" customWidth="1"/>
    <col min="11773" max="11789" width="8.7109375" style="9" customWidth="1"/>
    <col min="11790" max="11790" width="36.85546875" style="9" customWidth="1"/>
    <col min="11791" max="11797" width="14.28515625" style="9" customWidth="1"/>
    <col min="11798" max="12012" width="9.140625" style="9"/>
    <col min="12013" max="12013" width="38.5703125" style="9" customWidth="1"/>
    <col min="12014" max="12014" width="6.5703125" style="9" customWidth="1"/>
    <col min="12015" max="12015" width="7.7109375" style="9" bestFit="1" customWidth="1"/>
    <col min="12016" max="12016" width="7.28515625" style="9" customWidth="1"/>
    <col min="12017" max="12017" width="6.5703125" style="9" bestFit="1" customWidth="1"/>
    <col min="12018" max="12018" width="7.28515625" style="9" bestFit="1" customWidth="1"/>
    <col min="12019" max="12019" width="8.140625" style="9" customWidth="1"/>
    <col min="12020" max="12020" width="7.140625" style="9" customWidth="1"/>
    <col min="12021" max="12021" width="7.7109375" style="9" bestFit="1" customWidth="1"/>
    <col min="12022" max="12022" width="7.28515625" style="9" customWidth="1"/>
    <col min="12023" max="12023" width="7" style="9" customWidth="1"/>
    <col min="12024" max="12024" width="7.5703125" style="9" customWidth="1"/>
    <col min="12025" max="12025" width="7.140625" style="9" customWidth="1"/>
    <col min="12026" max="12026" width="7" style="9" customWidth="1"/>
    <col min="12027" max="12027" width="7.5703125" style="9" customWidth="1"/>
    <col min="12028" max="12028" width="7.140625" style="9" customWidth="1"/>
    <col min="12029" max="12045" width="8.7109375" style="9" customWidth="1"/>
    <col min="12046" max="12046" width="36.85546875" style="9" customWidth="1"/>
    <col min="12047" max="12053" width="14.28515625" style="9" customWidth="1"/>
    <col min="12054" max="12268" width="9.140625" style="9"/>
    <col min="12269" max="12269" width="38.5703125" style="9" customWidth="1"/>
    <col min="12270" max="12270" width="6.5703125" style="9" customWidth="1"/>
    <col min="12271" max="12271" width="7.7109375" style="9" bestFit="1" customWidth="1"/>
    <col min="12272" max="12272" width="7.28515625" style="9" customWidth="1"/>
    <col min="12273" max="12273" width="6.5703125" style="9" bestFit="1" customWidth="1"/>
    <col min="12274" max="12274" width="7.28515625" style="9" bestFit="1" customWidth="1"/>
    <col min="12275" max="12275" width="8.140625" style="9" customWidth="1"/>
    <col min="12276" max="12276" width="7.140625" style="9" customWidth="1"/>
    <col min="12277" max="12277" width="7.7109375" style="9" bestFit="1" customWidth="1"/>
    <col min="12278" max="12278" width="7.28515625" style="9" customWidth="1"/>
    <col min="12279" max="12279" width="7" style="9" customWidth="1"/>
    <col min="12280" max="12280" width="7.5703125" style="9" customWidth="1"/>
    <col min="12281" max="12281" width="7.140625" style="9" customWidth="1"/>
    <col min="12282" max="12282" width="7" style="9" customWidth="1"/>
    <col min="12283" max="12283" width="7.5703125" style="9" customWidth="1"/>
    <col min="12284" max="12284" width="7.140625" style="9" customWidth="1"/>
    <col min="12285" max="12301" width="8.7109375" style="9" customWidth="1"/>
    <col min="12302" max="12302" width="36.85546875" style="9" customWidth="1"/>
    <col min="12303" max="12309" width="14.28515625" style="9" customWidth="1"/>
    <col min="12310" max="12524" width="9.140625" style="9"/>
    <col min="12525" max="12525" width="38.5703125" style="9" customWidth="1"/>
    <col min="12526" max="12526" width="6.5703125" style="9" customWidth="1"/>
    <col min="12527" max="12527" width="7.7109375" style="9" bestFit="1" customWidth="1"/>
    <col min="12528" max="12528" width="7.28515625" style="9" customWidth="1"/>
    <col min="12529" max="12529" width="6.5703125" style="9" bestFit="1" customWidth="1"/>
    <col min="12530" max="12530" width="7.28515625" style="9" bestFit="1" customWidth="1"/>
    <col min="12531" max="12531" width="8.140625" style="9" customWidth="1"/>
    <col min="12532" max="12532" width="7.140625" style="9" customWidth="1"/>
    <col min="12533" max="12533" width="7.7109375" style="9" bestFit="1" customWidth="1"/>
    <col min="12534" max="12534" width="7.28515625" style="9" customWidth="1"/>
    <col min="12535" max="12535" width="7" style="9" customWidth="1"/>
    <col min="12536" max="12536" width="7.5703125" style="9" customWidth="1"/>
    <col min="12537" max="12537" width="7.140625" style="9" customWidth="1"/>
    <col min="12538" max="12538" width="7" style="9" customWidth="1"/>
    <col min="12539" max="12539" width="7.5703125" style="9" customWidth="1"/>
    <col min="12540" max="12540" width="7.140625" style="9" customWidth="1"/>
    <col min="12541" max="12557" width="8.7109375" style="9" customWidth="1"/>
    <col min="12558" max="12558" width="36.85546875" style="9" customWidth="1"/>
    <col min="12559" max="12565" width="14.28515625" style="9" customWidth="1"/>
    <col min="12566" max="12780" width="9.140625" style="9"/>
    <col min="12781" max="12781" width="38.5703125" style="9" customWidth="1"/>
    <col min="12782" max="12782" width="6.5703125" style="9" customWidth="1"/>
    <col min="12783" max="12783" width="7.7109375" style="9" bestFit="1" customWidth="1"/>
    <col min="12784" max="12784" width="7.28515625" style="9" customWidth="1"/>
    <col min="12785" max="12785" width="6.5703125" style="9" bestFit="1" customWidth="1"/>
    <col min="12786" max="12786" width="7.28515625" style="9" bestFit="1" customWidth="1"/>
    <col min="12787" max="12787" width="8.140625" style="9" customWidth="1"/>
    <col min="12788" max="12788" width="7.140625" style="9" customWidth="1"/>
    <col min="12789" max="12789" width="7.7109375" style="9" bestFit="1" customWidth="1"/>
    <col min="12790" max="12790" width="7.28515625" style="9" customWidth="1"/>
    <col min="12791" max="12791" width="7" style="9" customWidth="1"/>
    <col min="12792" max="12792" width="7.5703125" style="9" customWidth="1"/>
    <col min="12793" max="12793" width="7.140625" style="9" customWidth="1"/>
    <col min="12794" max="12794" width="7" style="9" customWidth="1"/>
    <col min="12795" max="12795" width="7.5703125" style="9" customWidth="1"/>
    <col min="12796" max="12796" width="7.140625" style="9" customWidth="1"/>
    <col min="12797" max="12813" width="8.7109375" style="9" customWidth="1"/>
    <col min="12814" max="12814" width="36.85546875" style="9" customWidth="1"/>
    <col min="12815" max="12821" width="14.28515625" style="9" customWidth="1"/>
    <col min="12822" max="13036" width="9.140625" style="9"/>
    <col min="13037" max="13037" width="38.5703125" style="9" customWidth="1"/>
    <col min="13038" max="13038" width="6.5703125" style="9" customWidth="1"/>
    <col min="13039" max="13039" width="7.7109375" style="9" bestFit="1" customWidth="1"/>
    <col min="13040" max="13040" width="7.28515625" style="9" customWidth="1"/>
    <col min="13041" max="13041" width="6.5703125" style="9" bestFit="1" customWidth="1"/>
    <col min="13042" max="13042" width="7.28515625" style="9" bestFit="1" customWidth="1"/>
    <col min="13043" max="13043" width="8.140625" style="9" customWidth="1"/>
    <col min="13044" max="13044" width="7.140625" style="9" customWidth="1"/>
    <col min="13045" max="13045" width="7.7109375" style="9" bestFit="1" customWidth="1"/>
    <col min="13046" max="13046" width="7.28515625" style="9" customWidth="1"/>
    <col min="13047" max="13047" width="7" style="9" customWidth="1"/>
    <col min="13048" max="13048" width="7.5703125" style="9" customWidth="1"/>
    <col min="13049" max="13049" width="7.140625" style="9" customWidth="1"/>
    <col min="13050" max="13050" width="7" style="9" customWidth="1"/>
    <col min="13051" max="13051" width="7.5703125" style="9" customWidth="1"/>
    <col min="13052" max="13052" width="7.140625" style="9" customWidth="1"/>
    <col min="13053" max="13069" width="8.7109375" style="9" customWidth="1"/>
    <col min="13070" max="13070" width="36.85546875" style="9" customWidth="1"/>
    <col min="13071" max="13077" width="14.28515625" style="9" customWidth="1"/>
    <col min="13078" max="13292" width="9.140625" style="9"/>
    <col min="13293" max="13293" width="38.5703125" style="9" customWidth="1"/>
    <col min="13294" max="13294" width="6.5703125" style="9" customWidth="1"/>
    <col min="13295" max="13295" width="7.7109375" style="9" bestFit="1" customWidth="1"/>
    <col min="13296" max="13296" width="7.28515625" style="9" customWidth="1"/>
    <col min="13297" max="13297" width="6.5703125" style="9" bestFit="1" customWidth="1"/>
    <col min="13298" max="13298" width="7.28515625" style="9" bestFit="1" customWidth="1"/>
    <col min="13299" max="13299" width="8.140625" style="9" customWidth="1"/>
    <col min="13300" max="13300" width="7.140625" style="9" customWidth="1"/>
    <col min="13301" max="13301" width="7.7109375" style="9" bestFit="1" customWidth="1"/>
    <col min="13302" max="13302" width="7.28515625" style="9" customWidth="1"/>
    <col min="13303" max="13303" width="7" style="9" customWidth="1"/>
    <col min="13304" max="13304" width="7.5703125" style="9" customWidth="1"/>
    <col min="13305" max="13305" width="7.140625" style="9" customWidth="1"/>
    <col min="13306" max="13306" width="7" style="9" customWidth="1"/>
    <col min="13307" max="13307" width="7.5703125" style="9" customWidth="1"/>
    <col min="13308" max="13308" width="7.140625" style="9" customWidth="1"/>
    <col min="13309" max="13325" width="8.7109375" style="9" customWidth="1"/>
    <col min="13326" max="13326" width="36.85546875" style="9" customWidth="1"/>
    <col min="13327" max="13333" width="14.28515625" style="9" customWidth="1"/>
    <col min="13334" max="13548" width="9.140625" style="9"/>
    <col min="13549" max="13549" width="38.5703125" style="9" customWidth="1"/>
    <col min="13550" max="13550" width="6.5703125" style="9" customWidth="1"/>
    <col min="13551" max="13551" width="7.7109375" style="9" bestFit="1" customWidth="1"/>
    <col min="13552" max="13552" width="7.28515625" style="9" customWidth="1"/>
    <col min="13553" max="13553" width="6.5703125" style="9" bestFit="1" customWidth="1"/>
    <col min="13554" max="13554" width="7.28515625" style="9" bestFit="1" customWidth="1"/>
    <col min="13555" max="13555" width="8.140625" style="9" customWidth="1"/>
    <col min="13556" max="13556" width="7.140625" style="9" customWidth="1"/>
    <col min="13557" max="13557" width="7.7109375" style="9" bestFit="1" customWidth="1"/>
    <col min="13558" max="13558" width="7.28515625" style="9" customWidth="1"/>
    <col min="13559" max="13559" width="7" style="9" customWidth="1"/>
    <col min="13560" max="13560" width="7.5703125" style="9" customWidth="1"/>
    <col min="13561" max="13561" width="7.140625" style="9" customWidth="1"/>
    <col min="13562" max="13562" width="7" style="9" customWidth="1"/>
    <col min="13563" max="13563" width="7.5703125" style="9" customWidth="1"/>
    <col min="13564" max="13564" width="7.140625" style="9" customWidth="1"/>
    <col min="13565" max="13581" width="8.7109375" style="9" customWidth="1"/>
    <col min="13582" max="13582" width="36.85546875" style="9" customWidth="1"/>
    <col min="13583" max="13589" width="14.28515625" style="9" customWidth="1"/>
    <col min="13590" max="13804" width="9.140625" style="9"/>
    <col min="13805" max="13805" width="38.5703125" style="9" customWidth="1"/>
    <col min="13806" max="13806" width="6.5703125" style="9" customWidth="1"/>
    <col min="13807" max="13807" width="7.7109375" style="9" bestFit="1" customWidth="1"/>
    <col min="13808" max="13808" width="7.28515625" style="9" customWidth="1"/>
    <col min="13809" max="13809" width="6.5703125" style="9" bestFit="1" customWidth="1"/>
    <col min="13810" max="13810" width="7.28515625" style="9" bestFit="1" customWidth="1"/>
    <col min="13811" max="13811" width="8.140625" style="9" customWidth="1"/>
    <col min="13812" max="13812" width="7.140625" style="9" customWidth="1"/>
    <col min="13813" max="13813" width="7.7109375" style="9" bestFit="1" customWidth="1"/>
    <col min="13814" max="13814" width="7.28515625" style="9" customWidth="1"/>
    <col min="13815" max="13815" width="7" style="9" customWidth="1"/>
    <col min="13816" max="13816" width="7.5703125" style="9" customWidth="1"/>
    <col min="13817" max="13817" width="7.140625" style="9" customWidth="1"/>
    <col min="13818" max="13818" width="7" style="9" customWidth="1"/>
    <col min="13819" max="13819" width="7.5703125" style="9" customWidth="1"/>
    <col min="13820" max="13820" width="7.140625" style="9" customWidth="1"/>
    <col min="13821" max="13837" width="8.7109375" style="9" customWidth="1"/>
    <col min="13838" max="13838" width="36.85546875" style="9" customWidth="1"/>
    <col min="13839" max="13845" width="14.28515625" style="9" customWidth="1"/>
    <col min="13846" max="14060" width="9.140625" style="9"/>
    <col min="14061" max="14061" width="38.5703125" style="9" customWidth="1"/>
    <col min="14062" max="14062" width="6.5703125" style="9" customWidth="1"/>
    <col min="14063" max="14063" width="7.7109375" style="9" bestFit="1" customWidth="1"/>
    <col min="14064" max="14064" width="7.28515625" style="9" customWidth="1"/>
    <col min="14065" max="14065" width="6.5703125" style="9" bestFit="1" customWidth="1"/>
    <col min="14066" max="14066" width="7.28515625" style="9" bestFit="1" customWidth="1"/>
    <col min="14067" max="14067" width="8.140625" style="9" customWidth="1"/>
    <col min="14068" max="14068" width="7.140625" style="9" customWidth="1"/>
    <col min="14069" max="14069" width="7.7109375" style="9" bestFit="1" customWidth="1"/>
    <col min="14070" max="14070" width="7.28515625" style="9" customWidth="1"/>
    <col min="14071" max="14071" width="7" style="9" customWidth="1"/>
    <col min="14072" max="14072" width="7.5703125" style="9" customWidth="1"/>
    <col min="14073" max="14073" width="7.140625" style="9" customWidth="1"/>
    <col min="14074" max="14074" width="7" style="9" customWidth="1"/>
    <col min="14075" max="14075" width="7.5703125" style="9" customWidth="1"/>
    <col min="14076" max="14076" width="7.140625" style="9" customWidth="1"/>
    <col min="14077" max="14093" width="8.7109375" style="9" customWidth="1"/>
    <col min="14094" max="14094" width="36.85546875" style="9" customWidth="1"/>
    <col min="14095" max="14101" width="14.28515625" style="9" customWidth="1"/>
    <col min="14102" max="14316" width="9.140625" style="9"/>
    <col min="14317" max="14317" width="38.5703125" style="9" customWidth="1"/>
    <col min="14318" max="14318" width="6.5703125" style="9" customWidth="1"/>
    <col min="14319" max="14319" width="7.7109375" style="9" bestFit="1" customWidth="1"/>
    <col min="14320" max="14320" width="7.28515625" style="9" customWidth="1"/>
    <col min="14321" max="14321" width="6.5703125" style="9" bestFit="1" customWidth="1"/>
    <col min="14322" max="14322" width="7.28515625" style="9" bestFit="1" customWidth="1"/>
    <col min="14323" max="14323" width="8.140625" style="9" customWidth="1"/>
    <col min="14324" max="14324" width="7.140625" style="9" customWidth="1"/>
    <col min="14325" max="14325" width="7.7109375" style="9" bestFit="1" customWidth="1"/>
    <col min="14326" max="14326" width="7.28515625" style="9" customWidth="1"/>
    <col min="14327" max="14327" width="7" style="9" customWidth="1"/>
    <col min="14328" max="14328" width="7.5703125" style="9" customWidth="1"/>
    <col min="14329" max="14329" width="7.140625" style="9" customWidth="1"/>
    <col min="14330" max="14330" width="7" style="9" customWidth="1"/>
    <col min="14331" max="14331" width="7.5703125" style="9" customWidth="1"/>
    <col min="14332" max="14332" width="7.140625" style="9" customWidth="1"/>
    <col min="14333" max="14349" width="8.7109375" style="9" customWidth="1"/>
    <col min="14350" max="14350" width="36.85546875" style="9" customWidth="1"/>
    <col min="14351" max="14357" width="14.28515625" style="9" customWidth="1"/>
    <col min="14358" max="14572" width="9.140625" style="9"/>
    <col min="14573" max="14573" width="38.5703125" style="9" customWidth="1"/>
    <col min="14574" max="14574" width="6.5703125" style="9" customWidth="1"/>
    <col min="14575" max="14575" width="7.7109375" style="9" bestFit="1" customWidth="1"/>
    <col min="14576" max="14576" width="7.28515625" style="9" customWidth="1"/>
    <col min="14577" max="14577" width="6.5703125" style="9" bestFit="1" customWidth="1"/>
    <col min="14578" max="14578" width="7.28515625" style="9" bestFit="1" customWidth="1"/>
    <col min="14579" max="14579" width="8.140625" style="9" customWidth="1"/>
    <col min="14580" max="14580" width="7.140625" style="9" customWidth="1"/>
    <col min="14581" max="14581" width="7.7109375" style="9" bestFit="1" customWidth="1"/>
    <col min="14582" max="14582" width="7.28515625" style="9" customWidth="1"/>
    <col min="14583" max="14583" width="7" style="9" customWidth="1"/>
    <col min="14584" max="14584" width="7.5703125" style="9" customWidth="1"/>
    <col min="14585" max="14585" width="7.140625" style="9" customWidth="1"/>
    <col min="14586" max="14586" width="7" style="9" customWidth="1"/>
    <col min="14587" max="14587" width="7.5703125" style="9" customWidth="1"/>
    <col min="14588" max="14588" width="7.140625" style="9" customWidth="1"/>
    <col min="14589" max="14605" width="8.7109375" style="9" customWidth="1"/>
    <col min="14606" max="14606" width="36.85546875" style="9" customWidth="1"/>
    <col min="14607" max="14613" width="14.28515625" style="9" customWidth="1"/>
    <col min="14614" max="14828" width="9.140625" style="9"/>
    <col min="14829" max="14829" width="38.5703125" style="9" customWidth="1"/>
    <col min="14830" max="14830" width="6.5703125" style="9" customWidth="1"/>
    <col min="14831" max="14831" width="7.7109375" style="9" bestFit="1" customWidth="1"/>
    <col min="14832" max="14832" width="7.28515625" style="9" customWidth="1"/>
    <col min="14833" max="14833" width="6.5703125" style="9" bestFit="1" customWidth="1"/>
    <col min="14834" max="14834" width="7.28515625" style="9" bestFit="1" customWidth="1"/>
    <col min="14835" max="14835" width="8.140625" style="9" customWidth="1"/>
    <col min="14836" max="14836" width="7.140625" style="9" customWidth="1"/>
    <col min="14837" max="14837" width="7.7109375" style="9" bestFit="1" customWidth="1"/>
    <col min="14838" max="14838" width="7.28515625" style="9" customWidth="1"/>
    <col min="14839" max="14839" width="7" style="9" customWidth="1"/>
    <col min="14840" max="14840" width="7.5703125" style="9" customWidth="1"/>
    <col min="14841" max="14841" width="7.140625" style="9" customWidth="1"/>
    <col min="14842" max="14842" width="7" style="9" customWidth="1"/>
    <col min="14843" max="14843" width="7.5703125" style="9" customWidth="1"/>
    <col min="14844" max="14844" width="7.140625" style="9" customWidth="1"/>
    <col min="14845" max="14861" width="8.7109375" style="9" customWidth="1"/>
    <col min="14862" max="14862" width="36.85546875" style="9" customWidth="1"/>
    <col min="14863" max="14869" width="14.28515625" style="9" customWidth="1"/>
    <col min="14870" max="15084" width="9.140625" style="9"/>
    <col min="15085" max="15085" width="38.5703125" style="9" customWidth="1"/>
    <col min="15086" max="15086" width="6.5703125" style="9" customWidth="1"/>
    <col min="15087" max="15087" width="7.7109375" style="9" bestFit="1" customWidth="1"/>
    <col min="15088" max="15088" width="7.28515625" style="9" customWidth="1"/>
    <col min="15089" max="15089" width="6.5703125" style="9" bestFit="1" customWidth="1"/>
    <col min="15090" max="15090" width="7.28515625" style="9" bestFit="1" customWidth="1"/>
    <col min="15091" max="15091" width="8.140625" style="9" customWidth="1"/>
    <col min="15092" max="15092" width="7.140625" style="9" customWidth="1"/>
    <col min="15093" max="15093" width="7.7109375" style="9" bestFit="1" customWidth="1"/>
    <col min="15094" max="15094" width="7.28515625" style="9" customWidth="1"/>
    <col min="15095" max="15095" width="7" style="9" customWidth="1"/>
    <col min="15096" max="15096" width="7.5703125" style="9" customWidth="1"/>
    <col min="15097" max="15097" width="7.140625" style="9" customWidth="1"/>
    <col min="15098" max="15098" width="7" style="9" customWidth="1"/>
    <col min="15099" max="15099" width="7.5703125" style="9" customWidth="1"/>
    <col min="15100" max="15100" width="7.140625" style="9" customWidth="1"/>
    <col min="15101" max="15117" width="8.7109375" style="9" customWidth="1"/>
    <col min="15118" max="15118" width="36.85546875" style="9" customWidth="1"/>
    <col min="15119" max="15125" width="14.28515625" style="9" customWidth="1"/>
    <col min="15126" max="15340" width="9.140625" style="9"/>
    <col min="15341" max="15341" width="38.5703125" style="9" customWidth="1"/>
    <col min="15342" max="15342" width="6.5703125" style="9" customWidth="1"/>
    <col min="15343" max="15343" width="7.7109375" style="9" bestFit="1" customWidth="1"/>
    <col min="15344" max="15344" width="7.28515625" style="9" customWidth="1"/>
    <col min="15345" max="15345" width="6.5703125" style="9" bestFit="1" customWidth="1"/>
    <col min="15346" max="15346" width="7.28515625" style="9" bestFit="1" customWidth="1"/>
    <col min="15347" max="15347" width="8.140625" style="9" customWidth="1"/>
    <col min="15348" max="15348" width="7.140625" style="9" customWidth="1"/>
    <col min="15349" max="15349" width="7.7109375" style="9" bestFit="1" customWidth="1"/>
    <col min="15350" max="15350" width="7.28515625" style="9" customWidth="1"/>
    <col min="15351" max="15351" width="7" style="9" customWidth="1"/>
    <col min="15352" max="15352" width="7.5703125" style="9" customWidth="1"/>
    <col min="15353" max="15353" width="7.140625" style="9" customWidth="1"/>
    <col min="15354" max="15354" width="7" style="9" customWidth="1"/>
    <col min="15355" max="15355" width="7.5703125" style="9" customWidth="1"/>
    <col min="15356" max="15356" width="7.140625" style="9" customWidth="1"/>
    <col min="15357" max="15373" width="8.7109375" style="9" customWidth="1"/>
    <col min="15374" max="15374" width="36.85546875" style="9" customWidth="1"/>
    <col min="15375" max="15381" width="14.28515625" style="9" customWidth="1"/>
    <col min="15382" max="15596" width="9.140625" style="9"/>
    <col min="15597" max="15597" width="38.5703125" style="9" customWidth="1"/>
    <col min="15598" max="15598" width="6.5703125" style="9" customWidth="1"/>
    <col min="15599" max="15599" width="7.7109375" style="9" bestFit="1" customWidth="1"/>
    <col min="15600" max="15600" width="7.28515625" style="9" customWidth="1"/>
    <col min="15601" max="15601" width="6.5703125" style="9" bestFit="1" customWidth="1"/>
    <col min="15602" max="15602" width="7.28515625" style="9" bestFit="1" customWidth="1"/>
    <col min="15603" max="15603" width="8.140625" style="9" customWidth="1"/>
    <col min="15604" max="15604" width="7.140625" style="9" customWidth="1"/>
    <col min="15605" max="15605" width="7.7109375" style="9" bestFit="1" customWidth="1"/>
    <col min="15606" max="15606" width="7.28515625" style="9" customWidth="1"/>
    <col min="15607" max="15607" width="7" style="9" customWidth="1"/>
    <col min="15608" max="15608" width="7.5703125" style="9" customWidth="1"/>
    <col min="15609" max="15609" width="7.140625" style="9" customWidth="1"/>
    <col min="15610" max="15610" width="7" style="9" customWidth="1"/>
    <col min="15611" max="15611" width="7.5703125" style="9" customWidth="1"/>
    <col min="15612" max="15612" width="7.140625" style="9" customWidth="1"/>
    <col min="15613" max="15629" width="8.7109375" style="9" customWidth="1"/>
    <col min="15630" max="15630" width="36.85546875" style="9" customWidth="1"/>
    <col min="15631" max="15637" width="14.28515625" style="9" customWidth="1"/>
    <col min="15638" max="15852" width="9.140625" style="9"/>
    <col min="15853" max="15853" width="38.5703125" style="9" customWidth="1"/>
    <col min="15854" max="15854" width="6.5703125" style="9" customWidth="1"/>
    <col min="15855" max="15855" width="7.7109375" style="9" bestFit="1" customWidth="1"/>
    <col min="15856" max="15856" width="7.28515625" style="9" customWidth="1"/>
    <col min="15857" max="15857" width="6.5703125" style="9" bestFit="1" customWidth="1"/>
    <col min="15858" max="15858" width="7.28515625" style="9" bestFit="1" customWidth="1"/>
    <col min="15859" max="15859" width="8.140625" style="9" customWidth="1"/>
    <col min="15860" max="15860" width="7.140625" style="9" customWidth="1"/>
    <col min="15861" max="15861" width="7.7109375" style="9" bestFit="1" customWidth="1"/>
    <col min="15862" max="15862" width="7.28515625" style="9" customWidth="1"/>
    <col min="15863" max="15863" width="7" style="9" customWidth="1"/>
    <col min="15864" max="15864" width="7.5703125" style="9" customWidth="1"/>
    <col min="15865" max="15865" width="7.140625" style="9" customWidth="1"/>
    <col min="15866" max="15866" width="7" style="9" customWidth="1"/>
    <col min="15867" max="15867" width="7.5703125" style="9" customWidth="1"/>
    <col min="15868" max="15868" width="7.140625" style="9" customWidth="1"/>
    <col min="15869" max="15885" width="8.7109375" style="9" customWidth="1"/>
    <col min="15886" max="15886" width="36.85546875" style="9" customWidth="1"/>
    <col min="15887" max="15893" width="14.28515625" style="9" customWidth="1"/>
    <col min="15894" max="16108" width="9.140625" style="9"/>
    <col min="16109" max="16109" width="38.5703125" style="9" customWidth="1"/>
    <col min="16110" max="16110" width="6.5703125" style="9" customWidth="1"/>
    <col min="16111" max="16111" width="7.7109375" style="9" bestFit="1" customWidth="1"/>
    <col min="16112" max="16112" width="7.28515625" style="9" customWidth="1"/>
    <col min="16113" max="16113" width="6.5703125" style="9" bestFit="1" customWidth="1"/>
    <col min="16114" max="16114" width="7.28515625" style="9" bestFit="1" customWidth="1"/>
    <col min="16115" max="16115" width="8.140625" style="9" customWidth="1"/>
    <col min="16116" max="16116" width="7.140625" style="9" customWidth="1"/>
    <col min="16117" max="16117" width="7.7109375" style="9" bestFit="1" customWidth="1"/>
    <col min="16118" max="16118" width="7.28515625" style="9" customWidth="1"/>
    <col min="16119" max="16119" width="7" style="9" customWidth="1"/>
    <col min="16120" max="16120" width="7.5703125" style="9" customWidth="1"/>
    <col min="16121" max="16121" width="7.140625" style="9" customWidth="1"/>
    <col min="16122" max="16122" width="7" style="9" customWidth="1"/>
    <col min="16123" max="16123" width="7.5703125" style="9" customWidth="1"/>
    <col min="16124" max="16124" width="7.140625" style="9" customWidth="1"/>
    <col min="16125" max="16141" width="8.7109375" style="9" customWidth="1"/>
    <col min="16142" max="16142" width="36.85546875" style="9" customWidth="1"/>
    <col min="16143" max="16149" width="14.28515625" style="9" customWidth="1"/>
    <col min="16150" max="16384" width="9.140625" style="9"/>
  </cols>
  <sheetData>
    <row r="1" spans="1:23" ht="15.75">
      <c r="L1" s="1444" t="s">
        <v>851</v>
      </c>
      <c r="M1" s="1445"/>
    </row>
    <row r="2" spans="1:23" ht="23.25">
      <c r="A2" s="1481" t="s">
        <v>1192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</row>
    <row r="3" spans="1:23" ht="11.25" customHeight="1">
      <c r="B3" s="1413"/>
      <c r="C3" s="1413"/>
      <c r="D3" s="1413"/>
      <c r="E3" s="1413"/>
      <c r="F3" s="1413"/>
      <c r="G3" s="1413"/>
      <c r="H3" s="9"/>
      <c r="I3" s="9"/>
      <c r="J3" s="9"/>
      <c r="K3" s="9"/>
      <c r="L3" s="9"/>
      <c r="M3" s="9"/>
    </row>
    <row r="4" spans="1:23" s="192" customFormat="1" ht="21.75" customHeight="1">
      <c r="A4" s="924" t="s">
        <v>1514</v>
      </c>
      <c r="B4" s="924"/>
      <c r="C4" s="246"/>
      <c r="D4" s="246"/>
      <c r="E4" s="191"/>
      <c r="F4" s="191"/>
      <c r="G4" s="191"/>
      <c r="H4" s="191"/>
      <c r="I4" s="191"/>
      <c r="J4" s="191"/>
      <c r="K4" s="191"/>
      <c r="L4" s="191"/>
      <c r="M4" s="191"/>
    </row>
    <row r="5" spans="1:23" ht="14.25" customHeight="1">
      <c r="A5" s="247"/>
      <c r="B5" s="247"/>
      <c r="C5" s="234"/>
      <c r="D5" s="234"/>
      <c r="E5" s="16"/>
      <c r="F5" s="16"/>
      <c r="G5" s="16"/>
      <c r="H5" s="9"/>
      <c r="I5" s="9"/>
      <c r="J5" s="9"/>
      <c r="K5" s="1482" t="s">
        <v>988</v>
      </c>
      <c r="L5" s="1482"/>
      <c r="M5" s="1482"/>
    </row>
    <row r="6" spans="1:23" s="248" customFormat="1" ht="23.25" customHeight="1">
      <c r="A6" s="1495" t="s">
        <v>762</v>
      </c>
      <c r="B6" s="1495"/>
      <c r="C6" s="1496" t="s">
        <v>770</v>
      </c>
      <c r="D6" s="1496" t="s">
        <v>754</v>
      </c>
      <c r="E6" s="1499" t="s">
        <v>814</v>
      </c>
      <c r="F6" s="1499"/>
      <c r="G6" s="1499"/>
      <c r="H6" s="1499"/>
      <c r="I6" s="1499"/>
      <c r="J6" s="1499"/>
      <c r="K6" s="1499"/>
      <c r="L6" s="1499"/>
      <c r="M6" s="1500"/>
    </row>
    <row r="7" spans="1:23" s="249" customFormat="1" ht="36" customHeight="1">
      <c r="A7" s="1495"/>
      <c r="B7" s="1495"/>
      <c r="C7" s="1497"/>
      <c r="D7" s="1497"/>
      <c r="E7" s="1501" t="s">
        <v>1222</v>
      </c>
      <c r="F7" s="1502"/>
      <c r="G7" s="1503"/>
      <c r="H7" s="1483" t="s">
        <v>1213</v>
      </c>
      <c r="I7" s="1484"/>
      <c r="J7" s="1485"/>
      <c r="K7" s="1486" t="s">
        <v>1200</v>
      </c>
      <c r="L7" s="1487"/>
      <c r="M7" s="1488"/>
    </row>
    <row r="8" spans="1:23" s="249" customFormat="1" ht="60" customHeight="1">
      <c r="A8" s="1495"/>
      <c r="B8" s="1495"/>
      <c r="C8" s="1498"/>
      <c r="D8" s="1498"/>
      <c r="E8" s="250" t="s">
        <v>743</v>
      </c>
      <c r="F8" s="251" t="s">
        <v>755</v>
      </c>
      <c r="G8" s="251" t="s">
        <v>756</v>
      </c>
      <c r="H8" s="250" t="s">
        <v>743</v>
      </c>
      <c r="I8" s="251" t="s">
        <v>755</v>
      </c>
      <c r="J8" s="251" t="s">
        <v>756</v>
      </c>
      <c r="K8" s="250" t="s">
        <v>743</v>
      </c>
      <c r="L8" s="251" t="s">
        <v>755</v>
      </c>
      <c r="M8" s="274" t="s">
        <v>756</v>
      </c>
      <c r="O8" s="249" t="s">
        <v>155</v>
      </c>
    </row>
    <row r="9" spans="1:23" ht="21.95" customHeight="1">
      <c r="A9" s="1478" t="s">
        <v>1183</v>
      </c>
      <c r="B9" s="1479"/>
      <c r="C9" s="1479"/>
      <c r="D9" s="1479"/>
      <c r="E9" s="1479"/>
      <c r="F9" s="1479"/>
      <c r="G9" s="1479"/>
      <c r="H9" s="1479"/>
      <c r="I9" s="1479"/>
      <c r="J9" s="1479"/>
      <c r="K9" s="1479"/>
      <c r="L9" s="1479"/>
      <c r="M9" s="1480"/>
    </row>
    <row r="10" spans="1:23" ht="21.95" customHeight="1">
      <c r="A10" s="753"/>
      <c r="B10" s="747" t="s">
        <v>1352</v>
      </c>
      <c r="C10" s="754"/>
      <c r="D10" s="754"/>
      <c r="E10" s="754"/>
      <c r="F10" s="754"/>
      <c r="G10" s="754"/>
      <c r="H10" s="754"/>
      <c r="I10" s="754"/>
      <c r="J10" s="754"/>
      <c r="K10" s="754"/>
      <c r="L10" s="754"/>
      <c r="M10" s="755"/>
    </row>
    <row r="11" spans="1:23" s="7" customFormat="1" ht="20.100000000000001" customHeight="1">
      <c r="A11" s="252">
        <v>1</v>
      </c>
      <c r="B11" s="737" t="s">
        <v>368</v>
      </c>
      <c r="C11" s="317" t="s">
        <v>772</v>
      </c>
      <c r="D11" s="260" t="s">
        <v>768</v>
      </c>
      <c r="E11" s="253">
        <v>30800</v>
      </c>
      <c r="F11" s="23">
        <f>36500-E11</f>
        <v>5700</v>
      </c>
      <c r="G11" s="263">
        <f t="shared" ref="G11:G42" si="0">E11+F11</f>
        <v>36500</v>
      </c>
      <c r="H11" s="253">
        <f>+E11</f>
        <v>30800</v>
      </c>
      <c r="I11" s="253">
        <f>+F11</f>
        <v>5700</v>
      </c>
      <c r="J11" s="265">
        <f t="shared" ref="J11:J42" si="1">H11+I11</f>
        <v>36500</v>
      </c>
      <c r="K11" s="253">
        <f>+H11</f>
        <v>30800</v>
      </c>
      <c r="L11" s="23">
        <f>+I11</f>
        <v>5700</v>
      </c>
      <c r="M11" s="267">
        <f t="shared" ref="M11:M42" si="2">K11+L11</f>
        <v>36500</v>
      </c>
      <c r="N11" s="272"/>
      <c r="O11" s="272"/>
      <c r="P11" s="272"/>
      <c r="Q11" s="272"/>
    </row>
    <row r="12" spans="1:23" s="7" customFormat="1" ht="20.100000000000001" customHeight="1">
      <c r="A12" s="254">
        <v>2</v>
      </c>
      <c r="B12" s="737" t="s">
        <v>1309</v>
      </c>
      <c r="C12" s="317" t="s">
        <v>772</v>
      </c>
      <c r="D12" s="260" t="s">
        <v>768</v>
      </c>
      <c r="E12" s="256">
        <v>30800</v>
      </c>
      <c r="F12" s="23">
        <f>36500-E12</f>
        <v>5700</v>
      </c>
      <c r="G12" s="264">
        <f t="shared" si="0"/>
        <v>36500</v>
      </c>
      <c r="H12" s="253">
        <f t="shared" ref="H12:H75" si="3">+E12</f>
        <v>30800</v>
      </c>
      <c r="I12" s="253">
        <f t="shared" ref="I12:I75" si="4">+F12</f>
        <v>5700</v>
      </c>
      <c r="J12" s="266">
        <f t="shared" si="1"/>
        <v>36500</v>
      </c>
      <c r="K12" s="253">
        <f t="shared" ref="K12:K75" si="5">+H12</f>
        <v>30800</v>
      </c>
      <c r="L12" s="23">
        <f t="shared" ref="L12:L75" si="6">+I12</f>
        <v>5700</v>
      </c>
      <c r="M12" s="268">
        <f t="shared" si="2"/>
        <v>36500</v>
      </c>
      <c r="N12" s="272"/>
      <c r="O12" s="272"/>
      <c r="P12" s="272"/>
      <c r="Q12" s="272"/>
    </row>
    <row r="13" spans="1:23" s="7" customFormat="1" ht="20.100000000000001" customHeight="1">
      <c r="A13" s="254">
        <v>3</v>
      </c>
      <c r="B13" s="737" t="s">
        <v>380</v>
      </c>
      <c r="C13" s="317" t="s">
        <v>772</v>
      </c>
      <c r="D13" s="260" t="s">
        <v>768</v>
      </c>
      <c r="E13" s="256">
        <v>30800</v>
      </c>
      <c r="F13" s="238">
        <f>36500-E13</f>
        <v>5700</v>
      </c>
      <c r="G13" s="264">
        <f t="shared" si="0"/>
        <v>36500</v>
      </c>
      <c r="H13" s="253">
        <f t="shared" si="3"/>
        <v>30800</v>
      </c>
      <c r="I13" s="253">
        <f t="shared" si="4"/>
        <v>5700</v>
      </c>
      <c r="J13" s="266">
        <f t="shared" si="1"/>
        <v>36500</v>
      </c>
      <c r="K13" s="253">
        <f t="shared" si="5"/>
        <v>30800</v>
      </c>
      <c r="L13" s="23">
        <f t="shared" si="6"/>
        <v>5700</v>
      </c>
      <c r="M13" s="268">
        <f t="shared" si="2"/>
        <v>36500</v>
      </c>
      <c r="N13" s="272"/>
      <c r="Q13" s="272"/>
      <c r="V13" s="273" t="s">
        <v>768</v>
      </c>
      <c r="W13" s="272" t="s">
        <v>772</v>
      </c>
    </row>
    <row r="14" spans="1:23" s="7" customFormat="1" ht="20.100000000000001" customHeight="1">
      <c r="A14" s="254">
        <v>4</v>
      </c>
      <c r="B14" s="737" t="s">
        <v>1310</v>
      </c>
      <c r="C14" s="317" t="s">
        <v>772</v>
      </c>
      <c r="D14" s="260" t="s">
        <v>768</v>
      </c>
      <c r="E14" s="256">
        <v>33500</v>
      </c>
      <c r="F14" s="238">
        <f>40800-E14</f>
        <v>7300</v>
      </c>
      <c r="G14" s="264">
        <f t="shared" si="0"/>
        <v>40800</v>
      </c>
      <c r="H14" s="253">
        <f t="shared" si="3"/>
        <v>33500</v>
      </c>
      <c r="I14" s="253">
        <f t="shared" si="4"/>
        <v>7300</v>
      </c>
      <c r="J14" s="266">
        <f t="shared" si="1"/>
        <v>40800</v>
      </c>
      <c r="K14" s="253">
        <f t="shared" si="5"/>
        <v>33500</v>
      </c>
      <c r="L14" s="23">
        <f t="shared" si="6"/>
        <v>7300</v>
      </c>
      <c r="M14" s="268">
        <f t="shared" si="2"/>
        <v>40800</v>
      </c>
      <c r="N14" s="272"/>
      <c r="Q14" s="272"/>
      <c r="V14" s="273" t="s">
        <v>771</v>
      </c>
      <c r="W14" s="272" t="s">
        <v>769</v>
      </c>
    </row>
    <row r="15" spans="1:23" s="7" customFormat="1" ht="20.100000000000001" customHeight="1">
      <c r="A15" s="254">
        <v>5</v>
      </c>
      <c r="B15" s="737" t="s">
        <v>388</v>
      </c>
      <c r="C15" s="317" t="s">
        <v>772</v>
      </c>
      <c r="D15" s="260" t="s">
        <v>768</v>
      </c>
      <c r="E15" s="256">
        <v>30800</v>
      </c>
      <c r="F15" s="238">
        <f>36500-E15</f>
        <v>5700</v>
      </c>
      <c r="G15" s="264">
        <f t="shared" si="0"/>
        <v>36500</v>
      </c>
      <c r="H15" s="253">
        <f t="shared" si="3"/>
        <v>30800</v>
      </c>
      <c r="I15" s="253">
        <f t="shared" si="4"/>
        <v>5700</v>
      </c>
      <c r="J15" s="266">
        <f t="shared" si="1"/>
        <v>36500</v>
      </c>
      <c r="K15" s="253">
        <f t="shared" si="5"/>
        <v>30800</v>
      </c>
      <c r="L15" s="23">
        <f t="shared" si="6"/>
        <v>5700</v>
      </c>
      <c r="M15" s="268">
        <f t="shared" si="2"/>
        <v>36500</v>
      </c>
      <c r="N15" s="272"/>
      <c r="Q15" s="272"/>
      <c r="V15" s="272"/>
      <c r="W15" s="272" t="s">
        <v>763</v>
      </c>
    </row>
    <row r="16" spans="1:23" s="7" customFormat="1" ht="20.100000000000001" customHeight="1">
      <c r="A16" s="254">
        <v>6</v>
      </c>
      <c r="B16" s="737" t="s">
        <v>1171</v>
      </c>
      <c r="C16" s="317" t="s">
        <v>772</v>
      </c>
      <c r="D16" s="260" t="s">
        <v>768</v>
      </c>
      <c r="E16" s="256">
        <v>24100</v>
      </c>
      <c r="F16" s="238">
        <f>29800-E16</f>
        <v>5700</v>
      </c>
      <c r="G16" s="264">
        <f t="shared" si="0"/>
        <v>29800</v>
      </c>
      <c r="H16" s="253">
        <f t="shared" si="3"/>
        <v>24100</v>
      </c>
      <c r="I16" s="253">
        <f t="shared" si="4"/>
        <v>5700</v>
      </c>
      <c r="J16" s="266">
        <f t="shared" si="1"/>
        <v>29800</v>
      </c>
      <c r="K16" s="253">
        <f t="shared" si="5"/>
        <v>24100</v>
      </c>
      <c r="L16" s="23">
        <f t="shared" si="6"/>
        <v>5700</v>
      </c>
      <c r="M16" s="268">
        <f t="shared" si="2"/>
        <v>29800</v>
      </c>
      <c r="N16" s="272"/>
      <c r="Q16" s="272"/>
      <c r="V16" s="272"/>
      <c r="W16" s="272"/>
    </row>
    <row r="17" spans="1:23" s="7" customFormat="1" ht="20.100000000000001" customHeight="1">
      <c r="A17" s="254">
        <v>7</v>
      </c>
      <c r="B17" s="737" t="s">
        <v>1311</v>
      </c>
      <c r="C17" s="317" t="s">
        <v>772</v>
      </c>
      <c r="D17" s="260" t="s">
        <v>768</v>
      </c>
      <c r="E17" s="256">
        <v>24100</v>
      </c>
      <c r="F17" s="238">
        <f>29800-E17</f>
        <v>5700</v>
      </c>
      <c r="G17" s="264">
        <f t="shared" si="0"/>
        <v>29800</v>
      </c>
      <c r="H17" s="253">
        <f t="shared" si="3"/>
        <v>24100</v>
      </c>
      <c r="I17" s="253">
        <f t="shared" si="4"/>
        <v>5700</v>
      </c>
      <c r="J17" s="266">
        <f t="shared" si="1"/>
        <v>29800</v>
      </c>
      <c r="K17" s="253">
        <f t="shared" si="5"/>
        <v>24100</v>
      </c>
      <c r="L17" s="23">
        <f t="shared" si="6"/>
        <v>5700</v>
      </c>
      <c r="M17" s="268">
        <f t="shared" si="2"/>
        <v>29800</v>
      </c>
      <c r="N17" s="272"/>
      <c r="Q17" s="272"/>
      <c r="V17" s="272"/>
      <c r="W17" s="272"/>
    </row>
    <row r="18" spans="1:23" s="7" customFormat="1" ht="20.100000000000001" customHeight="1">
      <c r="A18" s="254">
        <v>8</v>
      </c>
      <c r="B18" s="737" t="s">
        <v>403</v>
      </c>
      <c r="C18" s="317" t="s">
        <v>772</v>
      </c>
      <c r="D18" s="260" t="s">
        <v>768</v>
      </c>
      <c r="E18" s="256"/>
      <c r="F18" s="238"/>
      <c r="G18" s="264">
        <f t="shared" si="0"/>
        <v>0</v>
      </c>
      <c r="H18" s="253">
        <f t="shared" si="3"/>
        <v>0</v>
      </c>
      <c r="I18" s="253">
        <f t="shared" si="4"/>
        <v>0</v>
      </c>
      <c r="J18" s="266">
        <f t="shared" si="1"/>
        <v>0</v>
      </c>
      <c r="K18" s="253">
        <f t="shared" si="5"/>
        <v>0</v>
      </c>
      <c r="L18" s="23">
        <f t="shared" si="6"/>
        <v>0</v>
      </c>
      <c r="M18" s="268">
        <f t="shared" si="2"/>
        <v>0</v>
      </c>
      <c r="N18" s="272"/>
      <c r="Q18" s="272"/>
      <c r="V18" s="272"/>
      <c r="W18" s="272"/>
    </row>
    <row r="19" spans="1:23" s="7" customFormat="1" ht="20.100000000000001" customHeight="1">
      <c r="A19" s="254">
        <v>9</v>
      </c>
      <c r="B19" s="737" t="s">
        <v>421</v>
      </c>
      <c r="C19" s="317" t="s">
        <v>772</v>
      </c>
      <c r="D19" s="260" t="s">
        <v>768</v>
      </c>
      <c r="E19" s="256"/>
      <c r="F19" s="238"/>
      <c r="G19" s="264">
        <f t="shared" si="0"/>
        <v>0</v>
      </c>
      <c r="H19" s="253">
        <f t="shared" si="3"/>
        <v>0</v>
      </c>
      <c r="I19" s="253">
        <f t="shared" si="4"/>
        <v>0</v>
      </c>
      <c r="J19" s="266">
        <f t="shared" si="1"/>
        <v>0</v>
      </c>
      <c r="K19" s="253">
        <f t="shared" si="5"/>
        <v>0</v>
      </c>
      <c r="L19" s="23">
        <f t="shared" si="6"/>
        <v>0</v>
      </c>
      <c r="M19" s="268">
        <f t="shared" si="2"/>
        <v>0</v>
      </c>
      <c r="N19" s="272"/>
      <c r="Q19" s="272"/>
      <c r="V19" s="272"/>
      <c r="W19" s="272"/>
    </row>
    <row r="20" spans="1:23" s="7" customFormat="1" ht="20.100000000000001" customHeight="1">
      <c r="A20" s="254">
        <v>10</v>
      </c>
      <c r="B20" s="737" t="s">
        <v>419</v>
      </c>
      <c r="C20" s="317" t="s">
        <v>769</v>
      </c>
      <c r="D20" s="260" t="s">
        <v>768</v>
      </c>
      <c r="E20" s="256"/>
      <c r="F20" s="238"/>
      <c r="G20" s="264">
        <f t="shared" si="0"/>
        <v>0</v>
      </c>
      <c r="H20" s="253">
        <f t="shared" si="3"/>
        <v>0</v>
      </c>
      <c r="I20" s="253">
        <f t="shared" si="4"/>
        <v>0</v>
      </c>
      <c r="J20" s="266">
        <f t="shared" si="1"/>
        <v>0</v>
      </c>
      <c r="K20" s="253">
        <f t="shared" si="5"/>
        <v>0</v>
      </c>
      <c r="L20" s="23">
        <f t="shared" si="6"/>
        <v>0</v>
      </c>
      <c r="M20" s="268">
        <f t="shared" si="2"/>
        <v>0</v>
      </c>
      <c r="N20" s="272"/>
      <c r="Q20" s="272"/>
      <c r="V20" s="272"/>
      <c r="W20" s="272"/>
    </row>
    <row r="21" spans="1:23" s="7" customFormat="1" ht="20.100000000000001" customHeight="1">
      <c r="A21" s="254">
        <v>11</v>
      </c>
      <c r="B21" s="242" t="s">
        <v>1312</v>
      </c>
      <c r="C21" s="317" t="s">
        <v>769</v>
      </c>
      <c r="D21" s="260" t="s">
        <v>768</v>
      </c>
      <c r="E21" s="256">
        <v>32200</v>
      </c>
      <c r="F21" s="238">
        <f>37900-E21</f>
        <v>5700</v>
      </c>
      <c r="G21" s="264">
        <f t="shared" si="0"/>
        <v>37900</v>
      </c>
      <c r="H21" s="253">
        <f t="shared" si="3"/>
        <v>32200</v>
      </c>
      <c r="I21" s="253">
        <f t="shared" si="4"/>
        <v>5700</v>
      </c>
      <c r="J21" s="266">
        <f t="shared" si="1"/>
        <v>37900</v>
      </c>
      <c r="K21" s="253">
        <f t="shared" si="5"/>
        <v>32200</v>
      </c>
      <c r="L21" s="23">
        <f t="shared" si="6"/>
        <v>5700</v>
      </c>
      <c r="M21" s="268">
        <f t="shared" si="2"/>
        <v>37900</v>
      </c>
      <c r="N21" s="272"/>
      <c r="Q21" s="272"/>
      <c r="V21" s="272"/>
      <c r="W21" s="272"/>
    </row>
    <row r="22" spans="1:23" s="7" customFormat="1" ht="20.100000000000001" customHeight="1">
      <c r="A22" s="254">
        <v>12</v>
      </c>
      <c r="B22" s="242" t="s">
        <v>1313</v>
      </c>
      <c r="C22" s="317" t="s">
        <v>769</v>
      </c>
      <c r="D22" s="260" t="s">
        <v>768</v>
      </c>
      <c r="E22" s="256"/>
      <c r="F22" s="238"/>
      <c r="G22" s="264">
        <f t="shared" si="0"/>
        <v>0</v>
      </c>
      <c r="H22" s="253">
        <f t="shared" si="3"/>
        <v>0</v>
      </c>
      <c r="I22" s="253">
        <f t="shared" si="4"/>
        <v>0</v>
      </c>
      <c r="J22" s="266">
        <f t="shared" si="1"/>
        <v>0</v>
      </c>
      <c r="K22" s="253">
        <f t="shared" si="5"/>
        <v>0</v>
      </c>
      <c r="L22" s="23">
        <f t="shared" si="6"/>
        <v>0</v>
      </c>
      <c r="M22" s="268">
        <f t="shared" si="2"/>
        <v>0</v>
      </c>
      <c r="N22" s="272"/>
      <c r="Q22" s="272"/>
      <c r="V22" s="272"/>
      <c r="W22" s="272"/>
    </row>
    <row r="23" spans="1:23" s="7" customFormat="1" ht="20.100000000000001" customHeight="1">
      <c r="A23" s="254">
        <v>13</v>
      </c>
      <c r="B23" s="242" t="s">
        <v>1314</v>
      </c>
      <c r="C23" s="317" t="s">
        <v>769</v>
      </c>
      <c r="D23" s="260" t="s">
        <v>768</v>
      </c>
      <c r="E23" s="256">
        <v>37500</v>
      </c>
      <c r="F23" s="238">
        <f>43200-E23</f>
        <v>5700</v>
      </c>
      <c r="G23" s="264">
        <f t="shared" si="0"/>
        <v>43200</v>
      </c>
      <c r="H23" s="253">
        <f t="shared" si="3"/>
        <v>37500</v>
      </c>
      <c r="I23" s="253">
        <f t="shared" si="4"/>
        <v>5700</v>
      </c>
      <c r="J23" s="266">
        <f t="shared" si="1"/>
        <v>43200</v>
      </c>
      <c r="K23" s="253">
        <f t="shared" si="5"/>
        <v>37500</v>
      </c>
      <c r="L23" s="23">
        <f t="shared" si="6"/>
        <v>5700</v>
      </c>
      <c r="M23" s="268">
        <f t="shared" si="2"/>
        <v>43200</v>
      </c>
      <c r="N23" s="272"/>
      <c r="Q23" s="272"/>
      <c r="V23" s="272"/>
      <c r="W23" s="272"/>
    </row>
    <row r="24" spans="1:23" s="7" customFormat="1" ht="20.100000000000001" customHeight="1">
      <c r="A24" s="254">
        <v>14</v>
      </c>
      <c r="B24" s="242" t="s">
        <v>1351</v>
      </c>
      <c r="C24" s="317" t="s">
        <v>769</v>
      </c>
      <c r="D24" s="260" t="s">
        <v>768</v>
      </c>
      <c r="E24" s="256">
        <f>37500</f>
        <v>37500</v>
      </c>
      <c r="F24" s="238">
        <f>44800-E24</f>
        <v>7300</v>
      </c>
      <c r="G24" s="264">
        <f t="shared" si="0"/>
        <v>44800</v>
      </c>
      <c r="H24" s="253">
        <f t="shared" si="3"/>
        <v>37500</v>
      </c>
      <c r="I24" s="253">
        <f t="shared" si="4"/>
        <v>7300</v>
      </c>
      <c r="J24" s="266">
        <f t="shared" si="1"/>
        <v>44800</v>
      </c>
      <c r="K24" s="253">
        <f t="shared" si="5"/>
        <v>37500</v>
      </c>
      <c r="L24" s="23">
        <f t="shared" si="6"/>
        <v>7300</v>
      </c>
      <c r="M24" s="268">
        <f t="shared" si="2"/>
        <v>44800</v>
      </c>
      <c r="N24" s="272"/>
      <c r="Q24" s="272"/>
      <c r="V24" s="272"/>
      <c r="W24" s="272"/>
    </row>
    <row r="25" spans="1:23" s="7" customFormat="1" ht="20.100000000000001" customHeight="1">
      <c r="A25" s="254">
        <v>15</v>
      </c>
      <c r="B25" s="242" t="s">
        <v>355</v>
      </c>
      <c r="C25" s="317" t="s">
        <v>769</v>
      </c>
      <c r="D25" s="260" t="s">
        <v>768</v>
      </c>
      <c r="E25" s="256">
        <v>32200</v>
      </c>
      <c r="F25" s="238">
        <f>37900-E25</f>
        <v>5700</v>
      </c>
      <c r="G25" s="264">
        <f t="shared" si="0"/>
        <v>37900</v>
      </c>
      <c r="H25" s="253">
        <f t="shared" si="3"/>
        <v>32200</v>
      </c>
      <c r="I25" s="253">
        <f t="shared" si="4"/>
        <v>5700</v>
      </c>
      <c r="J25" s="266">
        <f t="shared" si="1"/>
        <v>37900</v>
      </c>
      <c r="K25" s="253">
        <f t="shared" si="5"/>
        <v>32200</v>
      </c>
      <c r="L25" s="23">
        <f t="shared" si="6"/>
        <v>5700</v>
      </c>
      <c r="M25" s="268">
        <f t="shared" si="2"/>
        <v>37900</v>
      </c>
      <c r="N25" s="272"/>
      <c r="Q25" s="272"/>
      <c r="V25" s="272"/>
      <c r="W25" s="272"/>
    </row>
    <row r="26" spans="1:23" s="7" customFormat="1" ht="20.100000000000001" customHeight="1">
      <c r="A26" s="254">
        <v>16</v>
      </c>
      <c r="B26" s="242" t="s">
        <v>383</v>
      </c>
      <c r="C26" s="317" t="s">
        <v>769</v>
      </c>
      <c r="D26" s="260" t="s">
        <v>768</v>
      </c>
      <c r="E26" s="256">
        <v>29500</v>
      </c>
      <c r="F26" s="238">
        <f>35200-E26</f>
        <v>5700</v>
      </c>
      <c r="G26" s="264">
        <f t="shared" si="0"/>
        <v>35200</v>
      </c>
      <c r="H26" s="253">
        <f t="shared" si="3"/>
        <v>29500</v>
      </c>
      <c r="I26" s="253">
        <f t="shared" si="4"/>
        <v>5700</v>
      </c>
      <c r="J26" s="266">
        <f t="shared" si="1"/>
        <v>35200</v>
      </c>
      <c r="K26" s="253">
        <f t="shared" si="5"/>
        <v>29500</v>
      </c>
      <c r="L26" s="23">
        <f t="shared" si="6"/>
        <v>5700</v>
      </c>
      <c r="M26" s="268">
        <f t="shared" si="2"/>
        <v>35200</v>
      </c>
      <c r="N26" s="272"/>
      <c r="Q26" s="272"/>
      <c r="V26" s="272"/>
      <c r="W26" s="272"/>
    </row>
    <row r="27" spans="1:23" s="7" customFormat="1" ht="20.100000000000001" customHeight="1">
      <c r="A27" s="254">
        <v>17</v>
      </c>
      <c r="B27" s="242" t="s">
        <v>379</v>
      </c>
      <c r="C27" s="317" t="s">
        <v>769</v>
      </c>
      <c r="D27" s="260" t="s">
        <v>768</v>
      </c>
      <c r="E27" s="256">
        <v>29500</v>
      </c>
      <c r="F27" s="238">
        <f>35200-E27</f>
        <v>5700</v>
      </c>
      <c r="G27" s="264">
        <f t="shared" si="0"/>
        <v>35200</v>
      </c>
      <c r="H27" s="253">
        <f t="shared" si="3"/>
        <v>29500</v>
      </c>
      <c r="I27" s="253">
        <f t="shared" si="4"/>
        <v>5700</v>
      </c>
      <c r="J27" s="266">
        <f t="shared" si="1"/>
        <v>35200</v>
      </c>
      <c r="K27" s="253">
        <f t="shared" si="5"/>
        <v>29500</v>
      </c>
      <c r="L27" s="23">
        <f t="shared" si="6"/>
        <v>5700</v>
      </c>
      <c r="M27" s="268">
        <f t="shared" si="2"/>
        <v>35200</v>
      </c>
      <c r="N27" s="272"/>
      <c r="Q27" s="272"/>
      <c r="V27" s="272"/>
      <c r="W27" s="272"/>
    </row>
    <row r="28" spans="1:23" s="7" customFormat="1" ht="20.100000000000001" customHeight="1">
      <c r="A28" s="254">
        <v>18</v>
      </c>
      <c r="B28" s="242" t="s">
        <v>390</v>
      </c>
      <c r="C28" s="317" t="s">
        <v>769</v>
      </c>
      <c r="D28" s="260" t="s">
        <v>768</v>
      </c>
      <c r="E28" s="256">
        <v>30800</v>
      </c>
      <c r="F28" s="238">
        <f>36500-E28</f>
        <v>5700</v>
      </c>
      <c r="G28" s="264">
        <f t="shared" si="0"/>
        <v>36500</v>
      </c>
      <c r="H28" s="253">
        <f t="shared" si="3"/>
        <v>30800</v>
      </c>
      <c r="I28" s="253">
        <f t="shared" si="4"/>
        <v>5700</v>
      </c>
      <c r="J28" s="266">
        <f t="shared" si="1"/>
        <v>36500</v>
      </c>
      <c r="K28" s="253">
        <f t="shared" si="5"/>
        <v>30800</v>
      </c>
      <c r="L28" s="23">
        <f t="shared" si="6"/>
        <v>5700</v>
      </c>
      <c r="M28" s="268">
        <f t="shared" si="2"/>
        <v>36500</v>
      </c>
      <c r="N28" s="272"/>
      <c r="Q28" s="272"/>
      <c r="V28" s="272"/>
      <c r="W28" s="272"/>
    </row>
    <row r="29" spans="1:23" s="7" customFormat="1" ht="20.100000000000001" customHeight="1">
      <c r="A29" s="254">
        <v>19</v>
      </c>
      <c r="B29" s="242" t="s">
        <v>391</v>
      </c>
      <c r="C29" s="317" t="s">
        <v>769</v>
      </c>
      <c r="D29" s="260" t="s">
        <v>768</v>
      </c>
      <c r="E29" s="256">
        <v>30800</v>
      </c>
      <c r="F29" s="238">
        <f>36500-E29</f>
        <v>5700</v>
      </c>
      <c r="G29" s="264">
        <f t="shared" si="0"/>
        <v>36500</v>
      </c>
      <c r="H29" s="253">
        <f t="shared" si="3"/>
        <v>30800</v>
      </c>
      <c r="I29" s="253">
        <f t="shared" si="4"/>
        <v>5700</v>
      </c>
      <c r="J29" s="266">
        <f t="shared" si="1"/>
        <v>36500</v>
      </c>
      <c r="K29" s="253">
        <f t="shared" si="5"/>
        <v>30800</v>
      </c>
      <c r="L29" s="23">
        <f t="shared" si="6"/>
        <v>5700</v>
      </c>
      <c r="M29" s="268">
        <f t="shared" si="2"/>
        <v>36500</v>
      </c>
      <c r="N29" s="272"/>
      <c r="Q29" s="272"/>
      <c r="V29" s="272"/>
      <c r="W29" s="272"/>
    </row>
    <row r="30" spans="1:23" s="7" customFormat="1" ht="20.100000000000001" customHeight="1">
      <c r="A30" s="254">
        <v>20</v>
      </c>
      <c r="B30" s="242" t="s">
        <v>1122</v>
      </c>
      <c r="C30" s="317" t="s">
        <v>769</v>
      </c>
      <c r="D30" s="260" t="s">
        <v>768</v>
      </c>
      <c r="E30" s="256">
        <v>30800</v>
      </c>
      <c r="F30" s="238">
        <f>36500-E30</f>
        <v>5700</v>
      </c>
      <c r="G30" s="264">
        <f t="shared" si="0"/>
        <v>36500</v>
      </c>
      <c r="H30" s="253">
        <f t="shared" si="3"/>
        <v>30800</v>
      </c>
      <c r="I30" s="253">
        <f t="shared" si="4"/>
        <v>5700</v>
      </c>
      <c r="J30" s="266">
        <f t="shared" si="1"/>
        <v>36500</v>
      </c>
      <c r="K30" s="253">
        <f t="shared" si="5"/>
        <v>30800</v>
      </c>
      <c r="L30" s="23">
        <f t="shared" si="6"/>
        <v>5700</v>
      </c>
      <c r="M30" s="268">
        <f t="shared" si="2"/>
        <v>36500</v>
      </c>
      <c r="N30" s="272"/>
      <c r="Q30" s="272"/>
      <c r="V30" s="272"/>
      <c r="W30" s="272"/>
    </row>
    <row r="31" spans="1:23" s="7" customFormat="1" ht="20.100000000000001" customHeight="1">
      <c r="A31" s="254">
        <v>21</v>
      </c>
      <c r="B31" s="242" t="s">
        <v>1316</v>
      </c>
      <c r="C31" s="317" t="s">
        <v>769</v>
      </c>
      <c r="D31" s="260" t="s">
        <v>768</v>
      </c>
      <c r="E31" s="256">
        <v>29500</v>
      </c>
      <c r="F31" s="238">
        <f>35200-E31</f>
        <v>5700</v>
      </c>
      <c r="G31" s="264">
        <f t="shared" si="0"/>
        <v>35200</v>
      </c>
      <c r="H31" s="253">
        <f t="shared" si="3"/>
        <v>29500</v>
      </c>
      <c r="I31" s="253">
        <f t="shared" si="4"/>
        <v>5700</v>
      </c>
      <c r="J31" s="266">
        <f t="shared" si="1"/>
        <v>35200</v>
      </c>
      <c r="K31" s="253">
        <f t="shared" si="5"/>
        <v>29500</v>
      </c>
      <c r="L31" s="23">
        <f t="shared" si="6"/>
        <v>5700</v>
      </c>
      <c r="M31" s="268">
        <f t="shared" si="2"/>
        <v>35200</v>
      </c>
      <c r="N31" s="272"/>
      <c r="Q31" s="272"/>
      <c r="V31" s="272"/>
      <c r="W31" s="272"/>
    </row>
    <row r="32" spans="1:23" s="7" customFormat="1" ht="20.100000000000001" customHeight="1">
      <c r="A32" s="254">
        <v>22</v>
      </c>
      <c r="B32" s="242" t="s">
        <v>396</v>
      </c>
      <c r="C32" s="317" t="s">
        <v>769</v>
      </c>
      <c r="D32" s="260" t="s">
        <v>768</v>
      </c>
      <c r="E32" s="256">
        <v>30800</v>
      </c>
      <c r="F32" s="238">
        <f>36500-E32</f>
        <v>5700</v>
      </c>
      <c r="G32" s="264">
        <f t="shared" si="0"/>
        <v>36500</v>
      </c>
      <c r="H32" s="253">
        <f t="shared" si="3"/>
        <v>30800</v>
      </c>
      <c r="I32" s="253">
        <f t="shared" si="4"/>
        <v>5700</v>
      </c>
      <c r="J32" s="266">
        <f t="shared" si="1"/>
        <v>36500</v>
      </c>
      <c r="K32" s="253">
        <f t="shared" si="5"/>
        <v>30800</v>
      </c>
      <c r="L32" s="23">
        <f t="shared" si="6"/>
        <v>5700</v>
      </c>
      <c r="M32" s="268">
        <f t="shared" si="2"/>
        <v>36500</v>
      </c>
      <c r="N32" s="272"/>
      <c r="Q32" s="272"/>
      <c r="V32" s="272"/>
      <c r="W32" s="272"/>
    </row>
    <row r="33" spans="1:23" s="7" customFormat="1" ht="20.100000000000001" customHeight="1">
      <c r="A33" s="254">
        <v>23</v>
      </c>
      <c r="B33" s="242" t="s">
        <v>1317</v>
      </c>
      <c r="C33" s="317" t="s">
        <v>769</v>
      </c>
      <c r="D33" s="260" t="s">
        <v>768</v>
      </c>
      <c r="E33" s="256">
        <v>30800</v>
      </c>
      <c r="F33" s="238">
        <f>36500-E33</f>
        <v>5700</v>
      </c>
      <c r="G33" s="264">
        <f t="shared" si="0"/>
        <v>36500</v>
      </c>
      <c r="H33" s="253">
        <f t="shared" si="3"/>
        <v>30800</v>
      </c>
      <c r="I33" s="253">
        <f t="shared" si="4"/>
        <v>5700</v>
      </c>
      <c r="J33" s="266">
        <f t="shared" si="1"/>
        <v>36500</v>
      </c>
      <c r="K33" s="253">
        <f t="shared" si="5"/>
        <v>30800</v>
      </c>
      <c r="L33" s="23">
        <f t="shared" si="6"/>
        <v>5700</v>
      </c>
      <c r="M33" s="268">
        <f t="shared" si="2"/>
        <v>36500</v>
      </c>
      <c r="N33" s="272"/>
      <c r="Q33" s="272"/>
      <c r="V33" s="272"/>
      <c r="W33" s="272"/>
    </row>
    <row r="34" spans="1:23" s="7" customFormat="1" ht="20.100000000000001" customHeight="1">
      <c r="A34" s="254">
        <v>24</v>
      </c>
      <c r="B34" s="242" t="s">
        <v>375</v>
      </c>
      <c r="C34" s="317" t="s">
        <v>769</v>
      </c>
      <c r="D34" s="260" t="s">
        <v>768</v>
      </c>
      <c r="E34" s="256">
        <v>32200</v>
      </c>
      <c r="F34" s="238">
        <f>37900-E34</f>
        <v>5700</v>
      </c>
      <c r="G34" s="264">
        <f t="shared" si="0"/>
        <v>37900</v>
      </c>
      <c r="H34" s="253">
        <f t="shared" si="3"/>
        <v>32200</v>
      </c>
      <c r="I34" s="253">
        <f t="shared" si="4"/>
        <v>5700</v>
      </c>
      <c r="J34" s="266">
        <f t="shared" si="1"/>
        <v>37900</v>
      </c>
      <c r="K34" s="253">
        <f t="shared" si="5"/>
        <v>32200</v>
      </c>
      <c r="L34" s="23">
        <f t="shared" si="6"/>
        <v>5700</v>
      </c>
      <c r="M34" s="268">
        <f t="shared" si="2"/>
        <v>37900</v>
      </c>
      <c r="N34" s="272"/>
      <c r="Q34" s="272"/>
      <c r="V34" s="272"/>
      <c r="W34" s="272"/>
    </row>
    <row r="35" spans="1:23" s="7" customFormat="1" ht="20.100000000000001" customHeight="1">
      <c r="A35" s="254">
        <v>25</v>
      </c>
      <c r="B35" s="242" t="s">
        <v>1318</v>
      </c>
      <c r="C35" s="317" t="s">
        <v>769</v>
      </c>
      <c r="D35" s="260" t="s">
        <v>768</v>
      </c>
      <c r="E35" s="256">
        <v>29500</v>
      </c>
      <c r="F35" s="238">
        <f>35200-E35</f>
        <v>5700</v>
      </c>
      <c r="G35" s="264">
        <f t="shared" si="0"/>
        <v>35200</v>
      </c>
      <c r="H35" s="253">
        <f t="shared" si="3"/>
        <v>29500</v>
      </c>
      <c r="I35" s="253">
        <f t="shared" si="4"/>
        <v>5700</v>
      </c>
      <c r="J35" s="266">
        <f t="shared" si="1"/>
        <v>35200</v>
      </c>
      <c r="K35" s="253">
        <f t="shared" si="5"/>
        <v>29500</v>
      </c>
      <c r="L35" s="23">
        <f t="shared" si="6"/>
        <v>5700</v>
      </c>
      <c r="M35" s="268">
        <f t="shared" si="2"/>
        <v>35200</v>
      </c>
      <c r="N35" s="272"/>
      <c r="Q35" s="272"/>
      <c r="V35" s="272"/>
      <c r="W35" s="272"/>
    </row>
    <row r="36" spans="1:23" s="7" customFormat="1" ht="20.100000000000001" customHeight="1">
      <c r="A36" s="254">
        <v>26</v>
      </c>
      <c r="B36" s="242" t="s">
        <v>372</v>
      </c>
      <c r="C36" s="317" t="s">
        <v>769</v>
      </c>
      <c r="D36" s="260" t="s">
        <v>768</v>
      </c>
      <c r="E36" s="256"/>
      <c r="F36" s="238"/>
      <c r="G36" s="264">
        <f t="shared" si="0"/>
        <v>0</v>
      </c>
      <c r="H36" s="253">
        <f t="shared" si="3"/>
        <v>0</v>
      </c>
      <c r="I36" s="253">
        <f t="shared" si="4"/>
        <v>0</v>
      </c>
      <c r="J36" s="266">
        <f t="shared" si="1"/>
        <v>0</v>
      </c>
      <c r="K36" s="253">
        <f t="shared" si="5"/>
        <v>0</v>
      </c>
      <c r="L36" s="23">
        <f t="shared" si="6"/>
        <v>0</v>
      </c>
      <c r="M36" s="268">
        <f t="shared" si="2"/>
        <v>0</v>
      </c>
      <c r="N36" s="272"/>
      <c r="Q36" s="272"/>
      <c r="V36" s="272"/>
      <c r="W36" s="272"/>
    </row>
    <row r="37" spans="1:23" s="7" customFormat="1" ht="20.100000000000001" customHeight="1">
      <c r="A37" s="254">
        <v>27</v>
      </c>
      <c r="B37" s="242" t="s">
        <v>1344</v>
      </c>
      <c r="C37" s="317" t="s">
        <v>769</v>
      </c>
      <c r="D37" s="260" t="s">
        <v>768</v>
      </c>
      <c r="E37" s="256"/>
      <c r="F37" s="238"/>
      <c r="G37" s="264">
        <f t="shared" si="0"/>
        <v>0</v>
      </c>
      <c r="H37" s="253">
        <f t="shared" si="3"/>
        <v>0</v>
      </c>
      <c r="I37" s="253">
        <f t="shared" si="4"/>
        <v>0</v>
      </c>
      <c r="J37" s="266">
        <f t="shared" si="1"/>
        <v>0</v>
      </c>
      <c r="K37" s="253">
        <f t="shared" si="5"/>
        <v>0</v>
      </c>
      <c r="L37" s="23">
        <f t="shared" si="6"/>
        <v>0</v>
      </c>
      <c r="M37" s="268">
        <f t="shared" si="2"/>
        <v>0</v>
      </c>
      <c r="N37" s="272"/>
      <c r="Q37" s="272"/>
      <c r="V37" s="272"/>
      <c r="W37" s="272"/>
    </row>
    <row r="38" spans="1:23" s="7" customFormat="1" ht="20.100000000000001" customHeight="1">
      <c r="A38" s="254">
        <v>28</v>
      </c>
      <c r="B38" s="242" t="s">
        <v>1319</v>
      </c>
      <c r="C38" s="752"/>
      <c r="D38" s="260" t="s">
        <v>768</v>
      </c>
      <c r="E38" s="256">
        <v>32200</v>
      </c>
      <c r="F38" s="238">
        <f>37900-E38</f>
        <v>5700</v>
      </c>
      <c r="G38" s="264">
        <f t="shared" si="0"/>
        <v>37900</v>
      </c>
      <c r="H38" s="253">
        <f t="shared" si="3"/>
        <v>32200</v>
      </c>
      <c r="I38" s="253">
        <f t="shared" si="4"/>
        <v>5700</v>
      </c>
      <c r="J38" s="266">
        <f t="shared" si="1"/>
        <v>37900</v>
      </c>
      <c r="K38" s="253">
        <f t="shared" si="5"/>
        <v>32200</v>
      </c>
      <c r="L38" s="23">
        <f t="shared" si="6"/>
        <v>5700</v>
      </c>
      <c r="M38" s="268">
        <f t="shared" si="2"/>
        <v>37900</v>
      </c>
      <c r="N38" s="272"/>
      <c r="Q38" s="272"/>
      <c r="V38" s="272"/>
      <c r="W38" s="272"/>
    </row>
    <row r="39" spans="1:23" s="7" customFormat="1" ht="20.100000000000001" customHeight="1">
      <c r="A39" s="254">
        <v>29</v>
      </c>
      <c r="B39" s="242" t="s">
        <v>1320</v>
      </c>
      <c r="C39" s="752"/>
      <c r="D39" s="260" t="s">
        <v>768</v>
      </c>
      <c r="E39" s="256">
        <v>32200</v>
      </c>
      <c r="F39" s="238">
        <f>37900-E39</f>
        <v>5700</v>
      </c>
      <c r="G39" s="264">
        <f t="shared" si="0"/>
        <v>37900</v>
      </c>
      <c r="H39" s="253">
        <f t="shared" si="3"/>
        <v>32200</v>
      </c>
      <c r="I39" s="253">
        <f t="shared" si="4"/>
        <v>5700</v>
      </c>
      <c r="J39" s="266">
        <f t="shared" si="1"/>
        <v>37900</v>
      </c>
      <c r="K39" s="253">
        <f t="shared" si="5"/>
        <v>32200</v>
      </c>
      <c r="L39" s="23">
        <f t="shared" si="6"/>
        <v>5700</v>
      </c>
      <c r="M39" s="268">
        <f t="shared" si="2"/>
        <v>37900</v>
      </c>
      <c r="N39" s="272"/>
      <c r="Q39" s="272"/>
      <c r="V39" s="272"/>
      <c r="W39" s="272"/>
    </row>
    <row r="40" spans="1:23" s="7" customFormat="1" ht="20.100000000000001" customHeight="1">
      <c r="A40" s="254">
        <v>30</v>
      </c>
      <c r="B40" s="242" t="s">
        <v>412</v>
      </c>
      <c r="C40" s="752"/>
      <c r="D40" s="260" t="s">
        <v>768</v>
      </c>
      <c r="E40" s="256">
        <v>30800</v>
      </c>
      <c r="F40" s="238">
        <f>36500-E40</f>
        <v>5700</v>
      </c>
      <c r="G40" s="264">
        <f t="shared" si="0"/>
        <v>36500</v>
      </c>
      <c r="H40" s="253">
        <f t="shared" si="3"/>
        <v>30800</v>
      </c>
      <c r="I40" s="253">
        <f t="shared" si="4"/>
        <v>5700</v>
      </c>
      <c r="J40" s="266">
        <f t="shared" si="1"/>
        <v>36500</v>
      </c>
      <c r="K40" s="253">
        <f t="shared" si="5"/>
        <v>30800</v>
      </c>
      <c r="L40" s="23">
        <f t="shared" si="6"/>
        <v>5700</v>
      </c>
      <c r="M40" s="268">
        <f t="shared" si="2"/>
        <v>36500</v>
      </c>
      <c r="N40" s="272"/>
      <c r="Q40" s="272"/>
      <c r="V40" s="272"/>
      <c r="W40" s="272"/>
    </row>
    <row r="41" spans="1:23" s="7" customFormat="1" ht="20.100000000000001" customHeight="1">
      <c r="A41" s="254">
        <v>31</v>
      </c>
      <c r="B41" s="242" t="s">
        <v>417</v>
      </c>
      <c r="C41" s="752"/>
      <c r="D41" s="260" t="s">
        <v>768</v>
      </c>
      <c r="E41" s="256">
        <v>30800</v>
      </c>
      <c r="F41" s="238">
        <f>36500-E41</f>
        <v>5700</v>
      </c>
      <c r="G41" s="264">
        <f t="shared" si="0"/>
        <v>36500</v>
      </c>
      <c r="H41" s="253">
        <f t="shared" si="3"/>
        <v>30800</v>
      </c>
      <c r="I41" s="253">
        <f t="shared" si="4"/>
        <v>5700</v>
      </c>
      <c r="J41" s="266">
        <f t="shared" si="1"/>
        <v>36500</v>
      </c>
      <c r="K41" s="253">
        <f t="shared" si="5"/>
        <v>30800</v>
      </c>
      <c r="L41" s="23">
        <f t="shared" si="6"/>
        <v>5700</v>
      </c>
      <c r="M41" s="268">
        <f t="shared" si="2"/>
        <v>36500</v>
      </c>
      <c r="N41" s="272"/>
      <c r="Q41" s="272"/>
      <c r="V41" s="272"/>
      <c r="W41" s="272"/>
    </row>
    <row r="42" spans="1:23" s="7" customFormat="1" ht="20.100000000000001" customHeight="1">
      <c r="A42" s="254">
        <v>32</v>
      </c>
      <c r="B42" s="242" t="s">
        <v>423</v>
      </c>
      <c r="C42" s="752"/>
      <c r="D42" s="260" t="s">
        <v>768</v>
      </c>
      <c r="E42" s="256">
        <v>30800</v>
      </c>
      <c r="F42" s="238">
        <f>36500-E42</f>
        <v>5700</v>
      </c>
      <c r="G42" s="264">
        <f t="shared" si="0"/>
        <v>36500</v>
      </c>
      <c r="H42" s="253">
        <f t="shared" si="3"/>
        <v>30800</v>
      </c>
      <c r="I42" s="253">
        <f t="shared" si="4"/>
        <v>5700</v>
      </c>
      <c r="J42" s="266">
        <f t="shared" si="1"/>
        <v>36500</v>
      </c>
      <c r="K42" s="253">
        <f t="shared" si="5"/>
        <v>30800</v>
      </c>
      <c r="L42" s="23">
        <f t="shared" si="6"/>
        <v>5700</v>
      </c>
      <c r="M42" s="268">
        <f t="shared" si="2"/>
        <v>36500</v>
      </c>
      <c r="N42" s="272"/>
      <c r="Q42" s="272"/>
      <c r="V42" s="272"/>
      <c r="W42" s="272"/>
    </row>
    <row r="43" spans="1:23" s="7" customFormat="1" ht="20.100000000000001" customHeight="1">
      <c r="A43" s="254">
        <v>33</v>
      </c>
      <c r="B43" s="242" t="s">
        <v>1321</v>
      </c>
      <c r="C43" s="752" t="s">
        <v>763</v>
      </c>
      <c r="D43" s="260" t="s">
        <v>768</v>
      </c>
      <c r="E43" s="256">
        <v>37500</v>
      </c>
      <c r="F43" s="238">
        <f>43200-E43</f>
        <v>5700</v>
      </c>
      <c r="G43" s="264">
        <f t="shared" ref="G43:G60" si="7">E43+F43</f>
        <v>43200</v>
      </c>
      <c r="H43" s="253">
        <f t="shared" si="3"/>
        <v>37500</v>
      </c>
      <c r="I43" s="253">
        <f t="shared" si="4"/>
        <v>5700</v>
      </c>
      <c r="J43" s="266">
        <f t="shared" ref="J43:J60" si="8">H43+I43</f>
        <v>43200</v>
      </c>
      <c r="K43" s="253">
        <f t="shared" si="5"/>
        <v>37500</v>
      </c>
      <c r="L43" s="23">
        <f t="shared" si="6"/>
        <v>5700</v>
      </c>
      <c r="M43" s="268">
        <f t="shared" ref="M43:M60" si="9">K43+L43</f>
        <v>43200</v>
      </c>
      <c r="N43" s="272"/>
      <c r="Q43" s="272"/>
      <c r="V43" s="272"/>
      <c r="W43" s="272"/>
    </row>
    <row r="44" spans="1:23" s="7" customFormat="1" ht="20.100000000000001" customHeight="1">
      <c r="A44" s="254">
        <v>34</v>
      </c>
      <c r="B44" s="242" t="s">
        <v>1322</v>
      </c>
      <c r="C44" s="752" t="s">
        <v>763</v>
      </c>
      <c r="D44" s="260" t="s">
        <v>768</v>
      </c>
      <c r="E44" s="256">
        <v>33500</v>
      </c>
      <c r="F44" s="238">
        <f>39200-E44</f>
        <v>5700</v>
      </c>
      <c r="G44" s="264">
        <f t="shared" si="7"/>
        <v>39200</v>
      </c>
      <c r="H44" s="253">
        <f t="shared" si="3"/>
        <v>33500</v>
      </c>
      <c r="I44" s="253">
        <f t="shared" si="4"/>
        <v>5700</v>
      </c>
      <c r="J44" s="266">
        <f t="shared" si="8"/>
        <v>39200</v>
      </c>
      <c r="K44" s="253">
        <f t="shared" si="5"/>
        <v>33500</v>
      </c>
      <c r="L44" s="23">
        <f t="shared" si="6"/>
        <v>5700</v>
      </c>
      <c r="M44" s="268">
        <f t="shared" si="9"/>
        <v>39200</v>
      </c>
      <c r="N44" s="272"/>
      <c r="Q44" s="272"/>
      <c r="V44" s="272"/>
      <c r="W44" s="272"/>
    </row>
    <row r="45" spans="1:23" s="7" customFormat="1" ht="20.100000000000001" customHeight="1">
      <c r="A45" s="254">
        <v>35</v>
      </c>
      <c r="B45" s="242" t="s">
        <v>382</v>
      </c>
      <c r="C45" s="752" t="s">
        <v>763</v>
      </c>
      <c r="D45" s="260" t="s">
        <v>768</v>
      </c>
      <c r="E45" s="256">
        <v>30800</v>
      </c>
      <c r="F45" s="238">
        <f>36500-E45</f>
        <v>5700</v>
      </c>
      <c r="G45" s="264">
        <f t="shared" si="7"/>
        <v>36500</v>
      </c>
      <c r="H45" s="253">
        <f t="shared" si="3"/>
        <v>30800</v>
      </c>
      <c r="I45" s="253">
        <f t="shared" si="4"/>
        <v>5700</v>
      </c>
      <c r="J45" s="266">
        <f t="shared" si="8"/>
        <v>36500</v>
      </c>
      <c r="K45" s="253">
        <f t="shared" si="5"/>
        <v>30800</v>
      </c>
      <c r="L45" s="23">
        <f t="shared" si="6"/>
        <v>5700</v>
      </c>
      <c r="M45" s="268">
        <f t="shared" si="9"/>
        <v>36500</v>
      </c>
      <c r="N45" s="272"/>
      <c r="Q45" s="272"/>
      <c r="V45" s="272"/>
      <c r="W45" s="272"/>
    </row>
    <row r="46" spans="1:23" s="7" customFormat="1" ht="20.100000000000001" customHeight="1">
      <c r="A46" s="254">
        <v>36</v>
      </c>
      <c r="B46" s="242" t="s">
        <v>1323</v>
      </c>
      <c r="C46" s="752" t="s">
        <v>763</v>
      </c>
      <c r="D46" s="260" t="s">
        <v>768</v>
      </c>
      <c r="E46" s="256">
        <v>33500</v>
      </c>
      <c r="F46" s="238">
        <f>39500-E46</f>
        <v>6000</v>
      </c>
      <c r="G46" s="264">
        <f t="shared" si="7"/>
        <v>39500</v>
      </c>
      <c r="H46" s="253">
        <f t="shared" si="3"/>
        <v>33500</v>
      </c>
      <c r="I46" s="253">
        <f t="shared" si="4"/>
        <v>6000</v>
      </c>
      <c r="J46" s="266">
        <f t="shared" si="8"/>
        <v>39500</v>
      </c>
      <c r="K46" s="253">
        <f t="shared" si="5"/>
        <v>33500</v>
      </c>
      <c r="L46" s="23">
        <f t="shared" si="6"/>
        <v>6000</v>
      </c>
      <c r="M46" s="268">
        <f t="shared" si="9"/>
        <v>39500</v>
      </c>
      <c r="N46" s="272"/>
      <c r="Q46" s="272"/>
      <c r="V46" s="272"/>
      <c r="W46" s="272"/>
    </row>
    <row r="47" spans="1:23" s="7" customFormat="1" ht="20.100000000000001" customHeight="1">
      <c r="A47" s="254">
        <v>37</v>
      </c>
      <c r="B47" s="242" t="s">
        <v>1324</v>
      </c>
      <c r="C47" s="752" t="s">
        <v>763</v>
      </c>
      <c r="D47" s="260" t="s">
        <v>768</v>
      </c>
      <c r="E47" s="256"/>
      <c r="F47" s="238"/>
      <c r="G47" s="264">
        <f t="shared" si="7"/>
        <v>0</v>
      </c>
      <c r="H47" s="253">
        <f t="shared" si="3"/>
        <v>0</v>
      </c>
      <c r="I47" s="253">
        <f t="shared" si="4"/>
        <v>0</v>
      </c>
      <c r="J47" s="266">
        <f t="shared" si="8"/>
        <v>0</v>
      </c>
      <c r="K47" s="253">
        <f t="shared" si="5"/>
        <v>0</v>
      </c>
      <c r="L47" s="23">
        <f t="shared" si="6"/>
        <v>0</v>
      </c>
      <c r="M47" s="268">
        <f t="shared" si="9"/>
        <v>0</v>
      </c>
      <c r="N47" s="272"/>
      <c r="Q47" s="272"/>
      <c r="V47" s="272"/>
      <c r="W47" s="272"/>
    </row>
    <row r="48" spans="1:23" s="7" customFormat="1" ht="20.100000000000001" customHeight="1">
      <c r="A48" s="254">
        <v>38</v>
      </c>
      <c r="B48" s="242" t="s">
        <v>1325</v>
      </c>
      <c r="C48" s="317"/>
      <c r="D48" s="260" t="s">
        <v>768</v>
      </c>
      <c r="E48" s="256">
        <v>30800</v>
      </c>
      <c r="F48" s="238">
        <f>36500-E48</f>
        <v>5700</v>
      </c>
      <c r="G48" s="264">
        <f t="shared" si="7"/>
        <v>36500</v>
      </c>
      <c r="H48" s="253">
        <f t="shared" si="3"/>
        <v>30800</v>
      </c>
      <c r="I48" s="253">
        <f t="shared" si="4"/>
        <v>5700</v>
      </c>
      <c r="J48" s="266">
        <f t="shared" si="8"/>
        <v>36500</v>
      </c>
      <c r="K48" s="253">
        <f t="shared" si="5"/>
        <v>30800</v>
      </c>
      <c r="L48" s="23">
        <f t="shared" si="6"/>
        <v>5700</v>
      </c>
      <c r="M48" s="268">
        <f t="shared" si="9"/>
        <v>36500</v>
      </c>
      <c r="N48" s="272"/>
      <c r="Q48" s="272"/>
      <c r="V48" s="272"/>
      <c r="W48" s="272"/>
    </row>
    <row r="49" spans="1:23" s="7" customFormat="1" ht="20.100000000000001" customHeight="1">
      <c r="A49" s="254">
        <v>39</v>
      </c>
      <c r="B49" s="242" t="s">
        <v>1326</v>
      </c>
      <c r="C49" s="317"/>
      <c r="D49" s="260" t="s">
        <v>768</v>
      </c>
      <c r="E49" s="256">
        <v>30800</v>
      </c>
      <c r="F49" s="238">
        <f>36500-E49</f>
        <v>5700</v>
      </c>
      <c r="G49" s="264">
        <f t="shared" si="7"/>
        <v>36500</v>
      </c>
      <c r="H49" s="253">
        <f t="shared" si="3"/>
        <v>30800</v>
      </c>
      <c r="I49" s="253">
        <f t="shared" si="4"/>
        <v>5700</v>
      </c>
      <c r="J49" s="266">
        <f t="shared" si="8"/>
        <v>36500</v>
      </c>
      <c r="K49" s="253">
        <f t="shared" si="5"/>
        <v>30800</v>
      </c>
      <c r="L49" s="23">
        <f t="shared" si="6"/>
        <v>5700</v>
      </c>
      <c r="M49" s="268">
        <f t="shared" si="9"/>
        <v>36500</v>
      </c>
      <c r="N49" s="272"/>
      <c r="Q49" s="272"/>
      <c r="V49" s="272"/>
      <c r="W49" s="272"/>
    </row>
    <row r="50" spans="1:23" s="7" customFormat="1" ht="20.100000000000001" customHeight="1">
      <c r="A50" s="254">
        <v>40</v>
      </c>
      <c r="B50" s="242" t="s">
        <v>432</v>
      </c>
      <c r="C50" s="317"/>
      <c r="D50" s="260" t="s">
        <v>768</v>
      </c>
      <c r="E50" s="256">
        <v>30800</v>
      </c>
      <c r="F50" s="238">
        <f>36500-E50</f>
        <v>5700</v>
      </c>
      <c r="G50" s="264">
        <f t="shared" si="7"/>
        <v>36500</v>
      </c>
      <c r="H50" s="253">
        <f t="shared" si="3"/>
        <v>30800</v>
      </c>
      <c r="I50" s="253">
        <f t="shared" si="4"/>
        <v>5700</v>
      </c>
      <c r="J50" s="266">
        <f t="shared" si="8"/>
        <v>36500</v>
      </c>
      <c r="K50" s="253">
        <f t="shared" si="5"/>
        <v>30800</v>
      </c>
      <c r="L50" s="23">
        <f t="shared" si="6"/>
        <v>5700</v>
      </c>
      <c r="M50" s="268">
        <f t="shared" si="9"/>
        <v>36500</v>
      </c>
      <c r="N50" s="272"/>
      <c r="Q50" s="272"/>
      <c r="V50" s="272"/>
      <c r="W50" s="272"/>
    </row>
    <row r="51" spans="1:23" s="7" customFormat="1" ht="20.100000000000001" customHeight="1">
      <c r="A51" s="254">
        <v>41</v>
      </c>
      <c r="B51" s="242" t="s">
        <v>406</v>
      </c>
      <c r="C51" s="317"/>
      <c r="D51" s="260" t="s">
        <v>768</v>
      </c>
      <c r="E51" s="256">
        <v>32200</v>
      </c>
      <c r="F51" s="238">
        <f>37900-E51</f>
        <v>5700</v>
      </c>
      <c r="G51" s="264">
        <f t="shared" si="7"/>
        <v>37900</v>
      </c>
      <c r="H51" s="253">
        <f t="shared" si="3"/>
        <v>32200</v>
      </c>
      <c r="I51" s="253">
        <f t="shared" si="4"/>
        <v>5700</v>
      </c>
      <c r="J51" s="266">
        <f t="shared" si="8"/>
        <v>37900</v>
      </c>
      <c r="K51" s="253">
        <f t="shared" si="5"/>
        <v>32200</v>
      </c>
      <c r="L51" s="23">
        <f t="shared" si="6"/>
        <v>5700</v>
      </c>
      <c r="M51" s="268">
        <f t="shared" si="9"/>
        <v>37900</v>
      </c>
      <c r="N51" s="272"/>
      <c r="Q51" s="272"/>
      <c r="V51" s="272"/>
      <c r="W51" s="272"/>
    </row>
    <row r="52" spans="1:23" s="7" customFormat="1" ht="20.100000000000001" customHeight="1">
      <c r="A52" s="254">
        <v>42</v>
      </c>
      <c r="B52" s="242" t="s">
        <v>1327</v>
      </c>
      <c r="C52" s="317"/>
      <c r="D52" s="260" t="s">
        <v>768</v>
      </c>
      <c r="E52" s="256">
        <v>30800</v>
      </c>
      <c r="F52" s="238">
        <f>36500-E52</f>
        <v>5700</v>
      </c>
      <c r="G52" s="264">
        <f t="shared" si="7"/>
        <v>36500</v>
      </c>
      <c r="H52" s="253">
        <f t="shared" si="3"/>
        <v>30800</v>
      </c>
      <c r="I52" s="253">
        <f t="shared" si="4"/>
        <v>5700</v>
      </c>
      <c r="J52" s="266">
        <f t="shared" si="8"/>
        <v>36500</v>
      </c>
      <c r="K52" s="253">
        <f t="shared" si="5"/>
        <v>30800</v>
      </c>
      <c r="L52" s="23">
        <f t="shared" si="6"/>
        <v>5700</v>
      </c>
      <c r="M52" s="268">
        <f t="shared" si="9"/>
        <v>36500</v>
      </c>
      <c r="N52" s="272"/>
      <c r="Q52" s="272"/>
      <c r="V52" s="272"/>
      <c r="W52" s="272"/>
    </row>
    <row r="53" spans="1:23" s="7" customFormat="1" ht="20.100000000000001" customHeight="1">
      <c r="A53" s="254">
        <v>43</v>
      </c>
      <c r="B53" s="242" t="s">
        <v>1328</v>
      </c>
      <c r="C53" s="317"/>
      <c r="D53" s="260" t="s">
        <v>768</v>
      </c>
      <c r="E53" s="256">
        <v>30800</v>
      </c>
      <c r="F53" s="238">
        <f>36500-E53</f>
        <v>5700</v>
      </c>
      <c r="G53" s="264">
        <f t="shared" si="7"/>
        <v>36500</v>
      </c>
      <c r="H53" s="253">
        <f t="shared" si="3"/>
        <v>30800</v>
      </c>
      <c r="I53" s="253">
        <f t="shared" si="4"/>
        <v>5700</v>
      </c>
      <c r="J53" s="266">
        <f t="shared" si="8"/>
        <v>36500</v>
      </c>
      <c r="K53" s="253">
        <f t="shared" si="5"/>
        <v>30800</v>
      </c>
      <c r="L53" s="23">
        <f t="shared" si="6"/>
        <v>5700</v>
      </c>
      <c r="M53" s="268">
        <f t="shared" si="9"/>
        <v>36500</v>
      </c>
      <c r="N53" s="272"/>
      <c r="Q53" s="272"/>
      <c r="V53" s="272"/>
      <c r="W53" s="272"/>
    </row>
    <row r="54" spans="1:23" s="7" customFormat="1" ht="20.100000000000001" customHeight="1">
      <c r="A54" s="254">
        <v>44</v>
      </c>
      <c r="B54" s="242" t="s">
        <v>409</v>
      </c>
      <c r="C54" s="317"/>
      <c r="D54" s="260" t="s">
        <v>768</v>
      </c>
      <c r="E54" s="256">
        <v>30800</v>
      </c>
      <c r="F54" s="238">
        <f>36500-E54</f>
        <v>5700</v>
      </c>
      <c r="G54" s="264">
        <f t="shared" si="7"/>
        <v>36500</v>
      </c>
      <c r="H54" s="253">
        <f t="shared" si="3"/>
        <v>30800</v>
      </c>
      <c r="I54" s="253">
        <f t="shared" si="4"/>
        <v>5700</v>
      </c>
      <c r="J54" s="266">
        <f t="shared" si="8"/>
        <v>36500</v>
      </c>
      <c r="K54" s="253">
        <f t="shared" si="5"/>
        <v>30800</v>
      </c>
      <c r="L54" s="23">
        <f t="shared" si="6"/>
        <v>5700</v>
      </c>
      <c r="M54" s="268">
        <f t="shared" si="9"/>
        <v>36500</v>
      </c>
      <c r="N54" s="272"/>
      <c r="Q54" s="272"/>
      <c r="V54" s="272"/>
      <c r="W54" s="272"/>
    </row>
    <row r="55" spans="1:23" s="7" customFormat="1" ht="20.100000000000001" customHeight="1">
      <c r="A55" s="254">
        <v>45</v>
      </c>
      <c r="B55" s="242" t="s">
        <v>1329</v>
      </c>
      <c r="C55" s="317"/>
      <c r="D55" s="260" t="s">
        <v>768</v>
      </c>
      <c r="E55" s="256">
        <v>30800</v>
      </c>
      <c r="F55" s="238">
        <f>36500-E55</f>
        <v>5700</v>
      </c>
      <c r="G55" s="264">
        <f t="shared" si="7"/>
        <v>36500</v>
      </c>
      <c r="H55" s="253">
        <f t="shared" si="3"/>
        <v>30800</v>
      </c>
      <c r="I55" s="253">
        <f t="shared" si="4"/>
        <v>5700</v>
      </c>
      <c r="J55" s="266">
        <f t="shared" si="8"/>
        <v>36500</v>
      </c>
      <c r="K55" s="253">
        <f t="shared" si="5"/>
        <v>30800</v>
      </c>
      <c r="L55" s="23">
        <f t="shared" si="6"/>
        <v>5700</v>
      </c>
      <c r="M55" s="268">
        <f t="shared" si="9"/>
        <v>36500</v>
      </c>
      <c r="N55" s="272"/>
      <c r="Q55" s="272"/>
      <c r="V55" s="272"/>
      <c r="W55" s="272"/>
    </row>
    <row r="56" spans="1:23" s="7" customFormat="1" ht="20.100000000000001" customHeight="1">
      <c r="A56" s="254">
        <v>46</v>
      </c>
      <c r="B56" s="242" t="s">
        <v>410</v>
      </c>
      <c r="C56" s="317"/>
      <c r="D56" s="260" t="s">
        <v>768</v>
      </c>
      <c r="E56" s="256">
        <v>61600</v>
      </c>
      <c r="F56" s="238">
        <f>71400-E56</f>
        <v>9800</v>
      </c>
      <c r="G56" s="264">
        <f t="shared" si="7"/>
        <v>71400</v>
      </c>
      <c r="H56" s="253">
        <f t="shared" si="3"/>
        <v>61600</v>
      </c>
      <c r="I56" s="253">
        <f t="shared" si="4"/>
        <v>9800</v>
      </c>
      <c r="J56" s="266">
        <f t="shared" si="8"/>
        <v>71400</v>
      </c>
      <c r="K56" s="253">
        <f t="shared" si="5"/>
        <v>61600</v>
      </c>
      <c r="L56" s="23">
        <f t="shared" si="6"/>
        <v>9800</v>
      </c>
      <c r="M56" s="268">
        <f t="shared" si="9"/>
        <v>71400</v>
      </c>
      <c r="N56" s="272"/>
      <c r="Q56" s="272"/>
      <c r="V56" s="272"/>
      <c r="W56" s="272"/>
    </row>
    <row r="57" spans="1:23" s="7" customFormat="1" ht="20.100000000000001" customHeight="1">
      <c r="A57" s="254">
        <v>47</v>
      </c>
      <c r="B57" s="242" t="s">
        <v>1330</v>
      </c>
      <c r="C57" s="317"/>
      <c r="D57" s="260" t="s">
        <v>768</v>
      </c>
      <c r="E57" s="256">
        <v>64300</v>
      </c>
      <c r="F57" s="238">
        <f>74100-E57</f>
        <v>9800</v>
      </c>
      <c r="G57" s="264">
        <f t="shared" si="7"/>
        <v>74100</v>
      </c>
      <c r="H57" s="253">
        <f t="shared" si="3"/>
        <v>64300</v>
      </c>
      <c r="I57" s="253">
        <f t="shared" si="4"/>
        <v>9800</v>
      </c>
      <c r="J57" s="266">
        <f t="shared" si="8"/>
        <v>74100</v>
      </c>
      <c r="K57" s="253">
        <f t="shared" si="5"/>
        <v>64300</v>
      </c>
      <c r="L57" s="23">
        <f t="shared" si="6"/>
        <v>9800</v>
      </c>
      <c r="M57" s="268">
        <f t="shared" si="9"/>
        <v>74100</v>
      </c>
      <c r="N57" s="272"/>
      <c r="Q57" s="272"/>
      <c r="V57" s="272"/>
      <c r="W57" s="272"/>
    </row>
    <row r="58" spans="1:23" s="7" customFormat="1" ht="20.100000000000001" customHeight="1">
      <c r="A58" s="254">
        <v>48</v>
      </c>
      <c r="B58" s="242" t="s">
        <v>1331</v>
      </c>
      <c r="C58" s="317"/>
      <c r="D58" s="260" t="s">
        <v>768</v>
      </c>
      <c r="E58" s="256">
        <v>30800</v>
      </c>
      <c r="F58" s="238">
        <f>36500-E58</f>
        <v>5700</v>
      </c>
      <c r="G58" s="264">
        <f t="shared" si="7"/>
        <v>36500</v>
      </c>
      <c r="H58" s="253">
        <f t="shared" si="3"/>
        <v>30800</v>
      </c>
      <c r="I58" s="253">
        <f t="shared" si="4"/>
        <v>5700</v>
      </c>
      <c r="J58" s="266">
        <f t="shared" si="8"/>
        <v>36500</v>
      </c>
      <c r="K58" s="253">
        <f t="shared" si="5"/>
        <v>30800</v>
      </c>
      <c r="L58" s="23">
        <f t="shared" si="6"/>
        <v>5700</v>
      </c>
      <c r="M58" s="268">
        <f t="shared" si="9"/>
        <v>36500</v>
      </c>
      <c r="N58" s="272"/>
      <c r="Q58" s="272"/>
      <c r="V58" s="272"/>
      <c r="W58" s="272" t="s">
        <v>764</v>
      </c>
    </row>
    <row r="59" spans="1:23" s="7" customFormat="1" ht="20.100000000000001" customHeight="1">
      <c r="A59" s="254">
        <v>49</v>
      </c>
      <c r="B59" s="242" t="s">
        <v>438</v>
      </c>
      <c r="C59" s="317"/>
      <c r="D59" s="260" t="s">
        <v>768</v>
      </c>
      <c r="E59" s="256">
        <f>30800</f>
        <v>30800</v>
      </c>
      <c r="F59" s="238">
        <f>36500-E59</f>
        <v>5700</v>
      </c>
      <c r="G59" s="264">
        <f t="shared" si="7"/>
        <v>36500</v>
      </c>
      <c r="H59" s="253">
        <f t="shared" si="3"/>
        <v>30800</v>
      </c>
      <c r="I59" s="253">
        <f t="shared" si="4"/>
        <v>5700</v>
      </c>
      <c r="J59" s="266">
        <f t="shared" si="8"/>
        <v>36500</v>
      </c>
      <c r="K59" s="253">
        <f t="shared" si="5"/>
        <v>30800</v>
      </c>
      <c r="L59" s="23">
        <f t="shared" si="6"/>
        <v>5700</v>
      </c>
      <c r="M59" s="268">
        <f t="shared" si="9"/>
        <v>36500</v>
      </c>
      <c r="N59" s="272"/>
      <c r="Q59" s="272"/>
      <c r="V59" s="272"/>
      <c r="W59" s="272" t="s">
        <v>765</v>
      </c>
    </row>
    <row r="60" spans="1:23" s="7" customFormat="1" ht="20.100000000000001" customHeight="1">
      <c r="A60" s="254">
        <v>50</v>
      </c>
      <c r="B60" s="242" t="s">
        <v>1345</v>
      </c>
      <c r="C60" s="317"/>
      <c r="D60" s="260" t="s">
        <v>768</v>
      </c>
      <c r="E60" s="256"/>
      <c r="F60" s="238"/>
      <c r="G60" s="264">
        <f t="shared" si="7"/>
        <v>0</v>
      </c>
      <c r="H60" s="253">
        <f t="shared" si="3"/>
        <v>0</v>
      </c>
      <c r="I60" s="253">
        <f t="shared" si="4"/>
        <v>0</v>
      </c>
      <c r="J60" s="266">
        <f t="shared" si="8"/>
        <v>0</v>
      </c>
      <c r="K60" s="253">
        <f t="shared" si="5"/>
        <v>0</v>
      </c>
      <c r="L60" s="23">
        <f t="shared" si="6"/>
        <v>0</v>
      </c>
      <c r="M60" s="268">
        <f t="shared" si="9"/>
        <v>0</v>
      </c>
      <c r="N60" s="272"/>
      <c r="Q60" s="272"/>
      <c r="V60" s="272"/>
      <c r="W60" s="272" t="s">
        <v>766</v>
      </c>
    </row>
    <row r="61" spans="1:23" s="7" customFormat="1" ht="20.100000000000001" customHeight="1">
      <c r="A61" s="254"/>
      <c r="B61" s="756" t="s">
        <v>1353</v>
      </c>
      <c r="C61" s="317"/>
      <c r="D61" s="260"/>
      <c r="E61" s="256"/>
      <c r="F61" s="238"/>
      <c r="G61" s="264"/>
      <c r="H61" s="253">
        <f t="shared" si="3"/>
        <v>0</v>
      </c>
      <c r="I61" s="253">
        <f t="shared" si="4"/>
        <v>0</v>
      </c>
      <c r="J61" s="266"/>
      <c r="K61" s="253">
        <f t="shared" si="5"/>
        <v>0</v>
      </c>
      <c r="L61" s="23">
        <f t="shared" si="6"/>
        <v>0</v>
      </c>
      <c r="M61" s="268"/>
      <c r="N61" s="272"/>
      <c r="Q61" s="272"/>
      <c r="V61" s="272"/>
      <c r="W61" s="272"/>
    </row>
    <row r="62" spans="1:23" s="7" customFormat="1" ht="20.100000000000001" customHeight="1">
      <c r="A62" s="254">
        <v>51</v>
      </c>
      <c r="B62" s="737" t="s">
        <v>368</v>
      </c>
      <c r="C62" s="317" t="s">
        <v>772</v>
      </c>
      <c r="D62" s="260" t="s">
        <v>768</v>
      </c>
      <c r="E62" s="256">
        <v>30800</v>
      </c>
      <c r="F62" s="238">
        <f>38100-E62</f>
        <v>7300</v>
      </c>
      <c r="G62" s="264">
        <f>E62+F62</f>
        <v>38100</v>
      </c>
      <c r="H62" s="253">
        <f t="shared" si="3"/>
        <v>30800</v>
      </c>
      <c r="I62" s="253">
        <f t="shared" si="4"/>
        <v>7300</v>
      </c>
      <c r="J62" s="266">
        <f>H62+I62</f>
        <v>38100</v>
      </c>
      <c r="K62" s="253">
        <f t="shared" si="5"/>
        <v>30800</v>
      </c>
      <c r="L62" s="23">
        <f t="shared" si="6"/>
        <v>7300</v>
      </c>
      <c r="M62" s="268">
        <f>K62+L62</f>
        <v>38100</v>
      </c>
      <c r="N62" s="272"/>
      <c r="Q62" s="272"/>
      <c r="V62" s="272"/>
      <c r="W62" s="272" t="s">
        <v>767</v>
      </c>
    </row>
    <row r="63" spans="1:23" s="7" customFormat="1" ht="20.100000000000001" customHeight="1">
      <c r="A63" s="254">
        <v>52</v>
      </c>
      <c r="B63" s="737" t="s">
        <v>1309</v>
      </c>
      <c r="C63" s="317" t="s">
        <v>772</v>
      </c>
      <c r="D63" s="260" t="s">
        <v>768</v>
      </c>
      <c r="E63" s="256">
        <v>37500</v>
      </c>
      <c r="F63" s="238">
        <v>7300</v>
      </c>
      <c r="G63" s="264">
        <f t="shared" ref="G63:G112" si="10">E63+F63</f>
        <v>44800</v>
      </c>
      <c r="H63" s="253">
        <f t="shared" si="3"/>
        <v>37500</v>
      </c>
      <c r="I63" s="253">
        <f t="shared" si="4"/>
        <v>7300</v>
      </c>
      <c r="J63" s="266">
        <f t="shared" ref="J63:J112" si="11">H63+I63</f>
        <v>44800</v>
      </c>
      <c r="K63" s="253">
        <f t="shared" si="5"/>
        <v>37500</v>
      </c>
      <c r="L63" s="23">
        <f t="shared" si="6"/>
        <v>7300</v>
      </c>
      <c r="M63" s="268">
        <f t="shared" ref="M63:M112" si="12">K63+L63</f>
        <v>44800</v>
      </c>
      <c r="N63" s="272"/>
      <c r="Q63" s="272"/>
      <c r="V63" s="272"/>
      <c r="W63" s="272"/>
    </row>
    <row r="64" spans="1:23" s="7" customFormat="1" ht="20.100000000000001" customHeight="1">
      <c r="A64" s="254">
        <v>53</v>
      </c>
      <c r="B64" s="737" t="s">
        <v>380</v>
      </c>
      <c r="C64" s="317" t="s">
        <v>772</v>
      </c>
      <c r="D64" s="260" t="s">
        <v>768</v>
      </c>
      <c r="E64" s="256">
        <v>30800</v>
      </c>
      <c r="F64" s="238">
        <v>7300</v>
      </c>
      <c r="G64" s="264">
        <f t="shared" si="10"/>
        <v>38100</v>
      </c>
      <c r="H64" s="253">
        <f t="shared" si="3"/>
        <v>30800</v>
      </c>
      <c r="I64" s="253">
        <f t="shared" si="4"/>
        <v>7300</v>
      </c>
      <c r="J64" s="266">
        <f t="shared" si="11"/>
        <v>38100</v>
      </c>
      <c r="K64" s="253">
        <f t="shared" si="5"/>
        <v>30800</v>
      </c>
      <c r="L64" s="23">
        <f t="shared" si="6"/>
        <v>7300</v>
      </c>
      <c r="M64" s="268">
        <f t="shared" si="12"/>
        <v>38100</v>
      </c>
      <c r="N64" s="272"/>
      <c r="Q64" s="272"/>
      <c r="V64" s="272"/>
      <c r="W64" s="272"/>
    </row>
    <row r="65" spans="1:23" s="7" customFormat="1" ht="20.100000000000001" customHeight="1">
      <c r="A65" s="254">
        <v>54</v>
      </c>
      <c r="B65" s="737" t="s">
        <v>1310</v>
      </c>
      <c r="C65" s="317" t="s">
        <v>772</v>
      </c>
      <c r="D65" s="260" t="s">
        <v>768</v>
      </c>
      <c r="E65" s="256">
        <v>42800</v>
      </c>
      <c r="F65" s="238">
        <f>50100-E65</f>
        <v>7300</v>
      </c>
      <c r="G65" s="264">
        <f t="shared" si="10"/>
        <v>50100</v>
      </c>
      <c r="H65" s="253">
        <f t="shared" si="3"/>
        <v>42800</v>
      </c>
      <c r="I65" s="253">
        <f t="shared" si="4"/>
        <v>7300</v>
      </c>
      <c r="J65" s="266">
        <f t="shared" si="11"/>
        <v>50100</v>
      </c>
      <c r="K65" s="253">
        <f t="shared" si="5"/>
        <v>42800</v>
      </c>
      <c r="L65" s="23">
        <f t="shared" si="6"/>
        <v>7300</v>
      </c>
      <c r="M65" s="268">
        <f t="shared" si="12"/>
        <v>50100</v>
      </c>
      <c r="N65" s="272"/>
      <c r="Q65" s="272"/>
      <c r="V65" s="272"/>
      <c r="W65" s="272"/>
    </row>
    <row r="66" spans="1:23" s="7" customFormat="1" ht="20.100000000000001" customHeight="1">
      <c r="A66" s="254">
        <v>55</v>
      </c>
      <c r="B66" s="737" t="s">
        <v>388</v>
      </c>
      <c r="C66" s="317" t="s">
        <v>772</v>
      </c>
      <c r="D66" s="260" t="s">
        <v>768</v>
      </c>
      <c r="E66" s="256">
        <v>28100</v>
      </c>
      <c r="F66" s="238">
        <v>7300</v>
      </c>
      <c r="G66" s="264">
        <f t="shared" si="10"/>
        <v>35400</v>
      </c>
      <c r="H66" s="253">
        <f t="shared" si="3"/>
        <v>28100</v>
      </c>
      <c r="I66" s="253">
        <f t="shared" si="4"/>
        <v>7300</v>
      </c>
      <c r="J66" s="266">
        <f t="shared" si="11"/>
        <v>35400</v>
      </c>
      <c r="K66" s="253">
        <f t="shared" si="5"/>
        <v>28100</v>
      </c>
      <c r="L66" s="23">
        <f t="shared" si="6"/>
        <v>7300</v>
      </c>
      <c r="M66" s="268">
        <f t="shared" si="12"/>
        <v>35400</v>
      </c>
      <c r="N66" s="272"/>
      <c r="Q66" s="272"/>
      <c r="V66" s="272"/>
      <c r="W66" s="272"/>
    </row>
    <row r="67" spans="1:23" s="7" customFormat="1" ht="20.100000000000001" customHeight="1">
      <c r="A67" s="254">
        <v>56</v>
      </c>
      <c r="B67" s="737" t="s">
        <v>1171</v>
      </c>
      <c r="C67" s="317" t="s">
        <v>772</v>
      </c>
      <c r="D67" s="260" t="s">
        <v>768</v>
      </c>
      <c r="E67" s="256">
        <v>30800</v>
      </c>
      <c r="F67" s="238">
        <v>7300</v>
      </c>
      <c r="G67" s="264">
        <f t="shared" si="10"/>
        <v>38100</v>
      </c>
      <c r="H67" s="253">
        <f t="shared" si="3"/>
        <v>30800</v>
      </c>
      <c r="I67" s="253">
        <f t="shared" si="4"/>
        <v>7300</v>
      </c>
      <c r="J67" s="266">
        <f t="shared" si="11"/>
        <v>38100</v>
      </c>
      <c r="K67" s="253">
        <f t="shared" si="5"/>
        <v>30800</v>
      </c>
      <c r="L67" s="23">
        <f t="shared" si="6"/>
        <v>7300</v>
      </c>
      <c r="M67" s="268">
        <f t="shared" si="12"/>
        <v>38100</v>
      </c>
      <c r="N67" s="272"/>
      <c r="Q67" s="272"/>
      <c r="V67" s="272"/>
      <c r="W67" s="272"/>
    </row>
    <row r="68" spans="1:23" s="7" customFormat="1" ht="20.100000000000001" customHeight="1">
      <c r="A68" s="254">
        <v>57</v>
      </c>
      <c r="B68" s="737" t="s">
        <v>1311</v>
      </c>
      <c r="C68" s="317" t="s">
        <v>772</v>
      </c>
      <c r="D68" s="260" t="s">
        <v>768</v>
      </c>
      <c r="E68" s="256">
        <v>30800</v>
      </c>
      <c r="F68" s="238">
        <v>7300</v>
      </c>
      <c r="G68" s="264">
        <f t="shared" si="10"/>
        <v>38100</v>
      </c>
      <c r="H68" s="253">
        <f t="shared" si="3"/>
        <v>30800</v>
      </c>
      <c r="I68" s="253">
        <f t="shared" si="4"/>
        <v>7300</v>
      </c>
      <c r="J68" s="266">
        <f t="shared" si="11"/>
        <v>38100</v>
      </c>
      <c r="K68" s="253">
        <f t="shared" si="5"/>
        <v>30800</v>
      </c>
      <c r="L68" s="23">
        <f t="shared" si="6"/>
        <v>7300</v>
      </c>
      <c r="M68" s="268">
        <f t="shared" si="12"/>
        <v>38100</v>
      </c>
      <c r="N68" s="272"/>
      <c r="Q68" s="272"/>
      <c r="V68" s="272"/>
      <c r="W68" s="272"/>
    </row>
    <row r="69" spans="1:23" s="7" customFormat="1" ht="20.100000000000001" customHeight="1">
      <c r="A69" s="254">
        <v>58</v>
      </c>
      <c r="B69" s="737" t="s">
        <v>403</v>
      </c>
      <c r="C69" s="317" t="s">
        <v>772</v>
      </c>
      <c r="D69" s="260" t="s">
        <v>768</v>
      </c>
      <c r="E69" s="256">
        <v>30800</v>
      </c>
      <c r="F69" s="238">
        <v>7300</v>
      </c>
      <c r="G69" s="264">
        <f t="shared" si="10"/>
        <v>38100</v>
      </c>
      <c r="H69" s="253">
        <f t="shared" si="3"/>
        <v>30800</v>
      </c>
      <c r="I69" s="253">
        <f t="shared" si="4"/>
        <v>7300</v>
      </c>
      <c r="J69" s="266">
        <f t="shared" si="11"/>
        <v>38100</v>
      </c>
      <c r="K69" s="253">
        <f t="shared" si="5"/>
        <v>30800</v>
      </c>
      <c r="L69" s="23">
        <f t="shared" si="6"/>
        <v>7300</v>
      </c>
      <c r="M69" s="268">
        <f t="shared" si="12"/>
        <v>38100</v>
      </c>
      <c r="N69" s="272"/>
      <c r="Q69" s="272"/>
      <c r="V69" s="272"/>
      <c r="W69" s="272"/>
    </row>
    <row r="70" spans="1:23" s="7" customFormat="1" ht="20.100000000000001" customHeight="1">
      <c r="A70" s="254">
        <v>59</v>
      </c>
      <c r="B70" s="737" t="s">
        <v>421</v>
      </c>
      <c r="C70" s="317" t="s">
        <v>772</v>
      </c>
      <c r="D70" s="260" t="s">
        <v>768</v>
      </c>
      <c r="E70" s="256">
        <v>28100</v>
      </c>
      <c r="F70" s="238">
        <v>7300</v>
      </c>
      <c r="G70" s="264">
        <f t="shared" si="10"/>
        <v>35400</v>
      </c>
      <c r="H70" s="253">
        <f t="shared" si="3"/>
        <v>28100</v>
      </c>
      <c r="I70" s="253">
        <f t="shared" si="4"/>
        <v>7300</v>
      </c>
      <c r="J70" s="266">
        <f t="shared" si="11"/>
        <v>35400</v>
      </c>
      <c r="K70" s="253">
        <f t="shared" si="5"/>
        <v>28100</v>
      </c>
      <c r="L70" s="23">
        <f t="shared" si="6"/>
        <v>7300</v>
      </c>
      <c r="M70" s="268">
        <f t="shared" si="12"/>
        <v>35400</v>
      </c>
      <c r="N70" s="272"/>
      <c r="Q70" s="272"/>
      <c r="V70" s="272"/>
      <c r="W70" s="272"/>
    </row>
    <row r="71" spans="1:23" s="7" customFormat="1" ht="20.100000000000001" customHeight="1">
      <c r="A71" s="254">
        <v>60</v>
      </c>
      <c r="B71" s="737" t="s">
        <v>419</v>
      </c>
      <c r="C71" s="317" t="s">
        <v>772</v>
      </c>
      <c r="D71" s="260" t="s">
        <v>768</v>
      </c>
      <c r="E71" s="256">
        <v>30800</v>
      </c>
      <c r="F71" s="238">
        <v>7300</v>
      </c>
      <c r="G71" s="264">
        <f t="shared" si="10"/>
        <v>38100</v>
      </c>
      <c r="H71" s="253">
        <f t="shared" si="3"/>
        <v>30800</v>
      </c>
      <c r="I71" s="253">
        <f t="shared" si="4"/>
        <v>7300</v>
      </c>
      <c r="J71" s="266">
        <f t="shared" si="11"/>
        <v>38100</v>
      </c>
      <c r="K71" s="253">
        <f t="shared" si="5"/>
        <v>30800</v>
      </c>
      <c r="L71" s="23">
        <f t="shared" si="6"/>
        <v>7300</v>
      </c>
      <c r="M71" s="268">
        <f t="shared" si="12"/>
        <v>38100</v>
      </c>
      <c r="N71" s="272"/>
      <c r="Q71" s="272"/>
      <c r="V71" s="272"/>
      <c r="W71" s="272"/>
    </row>
    <row r="72" spans="1:23" s="7" customFormat="1" ht="20.100000000000001" customHeight="1">
      <c r="A72" s="254">
        <v>61</v>
      </c>
      <c r="B72" s="242" t="s">
        <v>1312</v>
      </c>
      <c r="C72" s="317" t="s">
        <v>769</v>
      </c>
      <c r="D72" s="260" t="s">
        <v>768</v>
      </c>
      <c r="E72" s="256">
        <v>50800</v>
      </c>
      <c r="F72" s="238">
        <f>58100-E72</f>
        <v>7300</v>
      </c>
      <c r="G72" s="264">
        <f t="shared" si="10"/>
        <v>58100</v>
      </c>
      <c r="H72" s="253">
        <f t="shared" si="3"/>
        <v>50800</v>
      </c>
      <c r="I72" s="253">
        <f t="shared" si="4"/>
        <v>7300</v>
      </c>
      <c r="J72" s="266">
        <f t="shared" si="11"/>
        <v>58100</v>
      </c>
      <c r="K72" s="253">
        <f t="shared" si="5"/>
        <v>50800</v>
      </c>
      <c r="L72" s="23">
        <f t="shared" si="6"/>
        <v>7300</v>
      </c>
      <c r="M72" s="268">
        <f t="shared" si="12"/>
        <v>58100</v>
      </c>
      <c r="N72" s="272"/>
      <c r="Q72" s="272"/>
      <c r="V72" s="272"/>
      <c r="W72" s="272"/>
    </row>
    <row r="73" spans="1:23" s="7" customFormat="1" ht="20.100000000000001" customHeight="1">
      <c r="A73" s="254">
        <v>62</v>
      </c>
      <c r="B73" s="242" t="s">
        <v>1313</v>
      </c>
      <c r="C73" s="317" t="s">
        <v>769</v>
      </c>
      <c r="D73" s="260" t="s">
        <v>768</v>
      </c>
      <c r="E73" s="256"/>
      <c r="F73" s="238"/>
      <c r="G73" s="264">
        <f t="shared" si="10"/>
        <v>0</v>
      </c>
      <c r="H73" s="253">
        <f t="shared" si="3"/>
        <v>0</v>
      </c>
      <c r="I73" s="253">
        <f t="shared" si="4"/>
        <v>0</v>
      </c>
      <c r="J73" s="266">
        <f t="shared" si="11"/>
        <v>0</v>
      </c>
      <c r="K73" s="253">
        <f t="shared" si="5"/>
        <v>0</v>
      </c>
      <c r="L73" s="23">
        <f t="shared" si="6"/>
        <v>0</v>
      </c>
      <c r="M73" s="268">
        <f t="shared" si="12"/>
        <v>0</v>
      </c>
      <c r="N73" s="272"/>
      <c r="Q73" s="272"/>
      <c r="V73" s="272"/>
      <c r="W73" s="272"/>
    </row>
    <row r="74" spans="1:23" s="7" customFormat="1" ht="20.100000000000001" customHeight="1">
      <c r="A74" s="254">
        <v>63</v>
      </c>
      <c r="B74" s="242" t="s">
        <v>1431</v>
      </c>
      <c r="C74" s="317" t="s">
        <v>769</v>
      </c>
      <c r="D74" s="260" t="s">
        <v>768</v>
      </c>
      <c r="E74" s="256">
        <v>44100</v>
      </c>
      <c r="F74" s="238">
        <v>7300</v>
      </c>
      <c r="G74" s="264">
        <f t="shared" si="10"/>
        <v>51400</v>
      </c>
      <c r="H74" s="253">
        <f t="shared" si="3"/>
        <v>44100</v>
      </c>
      <c r="I74" s="253">
        <f t="shared" si="4"/>
        <v>7300</v>
      </c>
      <c r="J74" s="266">
        <f t="shared" si="11"/>
        <v>51400</v>
      </c>
      <c r="K74" s="253">
        <f t="shared" si="5"/>
        <v>44100</v>
      </c>
      <c r="L74" s="23">
        <f t="shared" si="6"/>
        <v>7300</v>
      </c>
      <c r="M74" s="268">
        <f t="shared" si="12"/>
        <v>51400</v>
      </c>
      <c r="N74" s="272"/>
      <c r="Q74" s="272"/>
      <c r="V74" s="272"/>
      <c r="W74" s="272"/>
    </row>
    <row r="75" spans="1:23" s="7" customFormat="1" ht="20.100000000000001" customHeight="1">
      <c r="A75" s="254">
        <v>64</v>
      </c>
      <c r="B75" s="242" t="s">
        <v>1351</v>
      </c>
      <c r="C75" s="317" t="s">
        <v>769</v>
      </c>
      <c r="D75" s="260" t="s">
        <v>768</v>
      </c>
      <c r="E75" s="256"/>
      <c r="F75" s="238"/>
      <c r="G75" s="264">
        <f t="shared" si="10"/>
        <v>0</v>
      </c>
      <c r="H75" s="253">
        <f t="shared" si="3"/>
        <v>0</v>
      </c>
      <c r="I75" s="253">
        <f t="shared" si="4"/>
        <v>0</v>
      </c>
      <c r="J75" s="266">
        <f t="shared" si="11"/>
        <v>0</v>
      </c>
      <c r="K75" s="253">
        <f t="shared" si="5"/>
        <v>0</v>
      </c>
      <c r="L75" s="23">
        <f t="shared" si="6"/>
        <v>0</v>
      </c>
      <c r="M75" s="268">
        <f t="shared" si="12"/>
        <v>0</v>
      </c>
      <c r="N75" s="272"/>
      <c r="Q75" s="272"/>
      <c r="V75" s="272"/>
      <c r="W75" s="272"/>
    </row>
    <row r="76" spans="1:23" s="7" customFormat="1" ht="20.100000000000001" customHeight="1">
      <c r="A76" s="254">
        <v>65</v>
      </c>
      <c r="B76" s="242" t="s">
        <v>355</v>
      </c>
      <c r="C76" s="317" t="s">
        <v>769</v>
      </c>
      <c r="D76" s="260" t="s">
        <v>768</v>
      </c>
      <c r="E76" s="256"/>
      <c r="F76" s="238"/>
      <c r="G76" s="264">
        <f t="shared" si="10"/>
        <v>0</v>
      </c>
      <c r="H76" s="253">
        <f t="shared" ref="H76:H111" si="13">+E76</f>
        <v>0</v>
      </c>
      <c r="I76" s="253">
        <f t="shared" ref="I76:I111" si="14">+F76</f>
        <v>0</v>
      </c>
      <c r="J76" s="266">
        <f t="shared" si="11"/>
        <v>0</v>
      </c>
      <c r="K76" s="253">
        <f t="shared" ref="K76:K112" si="15">+H76</f>
        <v>0</v>
      </c>
      <c r="L76" s="23">
        <f t="shared" ref="L76:L112" si="16">+I76</f>
        <v>0</v>
      </c>
      <c r="M76" s="268">
        <f t="shared" si="12"/>
        <v>0</v>
      </c>
      <c r="N76" s="272"/>
      <c r="Q76" s="272"/>
      <c r="V76" s="272"/>
      <c r="W76" s="272"/>
    </row>
    <row r="77" spans="1:23" s="7" customFormat="1" ht="20.100000000000001" customHeight="1">
      <c r="A77" s="254">
        <v>66</v>
      </c>
      <c r="B77" s="242" t="s">
        <v>383</v>
      </c>
      <c r="C77" s="317" t="s">
        <v>769</v>
      </c>
      <c r="D77" s="260" t="s">
        <v>768</v>
      </c>
      <c r="E77" s="256">
        <v>37500</v>
      </c>
      <c r="F77" s="238">
        <v>7300</v>
      </c>
      <c r="G77" s="264">
        <f t="shared" si="10"/>
        <v>44800</v>
      </c>
      <c r="H77" s="253">
        <f t="shared" si="13"/>
        <v>37500</v>
      </c>
      <c r="I77" s="253">
        <f t="shared" si="14"/>
        <v>7300</v>
      </c>
      <c r="J77" s="266">
        <f t="shared" si="11"/>
        <v>44800</v>
      </c>
      <c r="K77" s="253">
        <f t="shared" si="15"/>
        <v>37500</v>
      </c>
      <c r="L77" s="23">
        <f t="shared" si="16"/>
        <v>7300</v>
      </c>
      <c r="M77" s="268">
        <f t="shared" si="12"/>
        <v>44800</v>
      </c>
      <c r="N77" s="272"/>
      <c r="Q77" s="272"/>
      <c r="V77" s="272"/>
      <c r="W77" s="272"/>
    </row>
    <row r="78" spans="1:23" s="7" customFormat="1" ht="20.100000000000001" customHeight="1">
      <c r="A78" s="254">
        <v>67</v>
      </c>
      <c r="B78" s="242" t="s">
        <v>379</v>
      </c>
      <c r="C78" s="317" t="s">
        <v>769</v>
      </c>
      <c r="D78" s="260" t="s">
        <v>768</v>
      </c>
      <c r="E78" s="256">
        <v>33500</v>
      </c>
      <c r="F78" s="238">
        <v>7300</v>
      </c>
      <c r="G78" s="264">
        <f t="shared" si="10"/>
        <v>40800</v>
      </c>
      <c r="H78" s="253">
        <f t="shared" si="13"/>
        <v>33500</v>
      </c>
      <c r="I78" s="253">
        <f t="shared" si="14"/>
        <v>7300</v>
      </c>
      <c r="J78" s="266">
        <f t="shared" si="11"/>
        <v>40800</v>
      </c>
      <c r="K78" s="253">
        <f t="shared" si="15"/>
        <v>33500</v>
      </c>
      <c r="L78" s="23">
        <f t="shared" si="16"/>
        <v>7300</v>
      </c>
      <c r="M78" s="268">
        <f t="shared" si="12"/>
        <v>40800</v>
      </c>
      <c r="N78" s="272"/>
      <c r="Q78" s="272"/>
      <c r="V78" s="272"/>
      <c r="W78" s="272"/>
    </row>
    <row r="79" spans="1:23" s="7" customFormat="1" ht="20.100000000000001" customHeight="1">
      <c r="A79" s="254">
        <v>68</v>
      </c>
      <c r="B79" s="242" t="s">
        <v>390</v>
      </c>
      <c r="C79" s="317" t="s">
        <v>769</v>
      </c>
      <c r="D79" s="260" t="s">
        <v>768</v>
      </c>
      <c r="E79" s="256">
        <v>37500</v>
      </c>
      <c r="F79" s="238">
        <v>7300</v>
      </c>
      <c r="G79" s="264">
        <f t="shared" si="10"/>
        <v>44800</v>
      </c>
      <c r="H79" s="253">
        <f t="shared" si="13"/>
        <v>37500</v>
      </c>
      <c r="I79" s="253">
        <f t="shared" si="14"/>
        <v>7300</v>
      </c>
      <c r="J79" s="266">
        <f t="shared" si="11"/>
        <v>44800</v>
      </c>
      <c r="K79" s="253">
        <f t="shared" si="15"/>
        <v>37500</v>
      </c>
      <c r="L79" s="23">
        <f t="shared" si="16"/>
        <v>7300</v>
      </c>
      <c r="M79" s="268">
        <f t="shared" si="12"/>
        <v>44800</v>
      </c>
      <c r="N79" s="272"/>
      <c r="Q79" s="272"/>
      <c r="V79" s="272"/>
      <c r="W79" s="272"/>
    </row>
    <row r="80" spans="1:23" s="7" customFormat="1" ht="20.100000000000001" customHeight="1">
      <c r="A80" s="254">
        <v>69</v>
      </c>
      <c r="B80" s="242" t="s">
        <v>391</v>
      </c>
      <c r="C80" s="317" t="s">
        <v>769</v>
      </c>
      <c r="D80" s="260" t="s">
        <v>768</v>
      </c>
      <c r="E80" s="256">
        <v>30800</v>
      </c>
      <c r="F80" s="238">
        <f>36500-E80</f>
        <v>5700</v>
      </c>
      <c r="G80" s="264">
        <f t="shared" si="10"/>
        <v>36500</v>
      </c>
      <c r="H80" s="253">
        <f t="shared" si="13"/>
        <v>30800</v>
      </c>
      <c r="I80" s="253">
        <f t="shared" si="14"/>
        <v>5700</v>
      </c>
      <c r="J80" s="266">
        <f t="shared" si="11"/>
        <v>36500</v>
      </c>
      <c r="K80" s="253">
        <f t="shared" si="15"/>
        <v>30800</v>
      </c>
      <c r="L80" s="23">
        <f t="shared" si="16"/>
        <v>5700</v>
      </c>
      <c r="M80" s="268">
        <f t="shared" si="12"/>
        <v>36500</v>
      </c>
      <c r="N80" s="272"/>
      <c r="Q80" s="272"/>
      <c r="V80" s="272"/>
      <c r="W80" s="272"/>
    </row>
    <row r="81" spans="1:23" s="7" customFormat="1" ht="20.100000000000001" customHeight="1">
      <c r="A81" s="254">
        <v>70</v>
      </c>
      <c r="B81" s="242" t="s">
        <v>1122</v>
      </c>
      <c r="C81" s="317" t="s">
        <v>769</v>
      </c>
      <c r="D81" s="260" t="s">
        <v>768</v>
      </c>
      <c r="E81" s="256">
        <v>37500</v>
      </c>
      <c r="F81" s="238">
        <v>7300</v>
      </c>
      <c r="G81" s="264">
        <f t="shared" si="10"/>
        <v>44800</v>
      </c>
      <c r="H81" s="253">
        <f t="shared" si="13"/>
        <v>37500</v>
      </c>
      <c r="I81" s="253">
        <f t="shared" si="14"/>
        <v>7300</v>
      </c>
      <c r="J81" s="266">
        <f t="shared" si="11"/>
        <v>44800</v>
      </c>
      <c r="K81" s="253">
        <f t="shared" si="15"/>
        <v>37500</v>
      </c>
      <c r="L81" s="23">
        <f t="shared" si="16"/>
        <v>7300</v>
      </c>
      <c r="M81" s="268">
        <f t="shared" si="12"/>
        <v>44800</v>
      </c>
      <c r="N81" s="272"/>
      <c r="Q81" s="272"/>
      <c r="V81" s="272"/>
      <c r="W81" s="272"/>
    </row>
    <row r="82" spans="1:23" s="7" customFormat="1" ht="20.100000000000001" customHeight="1">
      <c r="A82" s="254">
        <v>71</v>
      </c>
      <c r="B82" s="242" t="s">
        <v>1316</v>
      </c>
      <c r="C82" s="317" t="s">
        <v>769</v>
      </c>
      <c r="D82" s="260" t="s">
        <v>768</v>
      </c>
      <c r="E82" s="256">
        <v>33500</v>
      </c>
      <c r="F82" s="238">
        <f>40800-E82</f>
        <v>7300</v>
      </c>
      <c r="G82" s="264">
        <f t="shared" si="10"/>
        <v>40800</v>
      </c>
      <c r="H82" s="253">
        <f t="shared" si="13"/>
        <v>33500</v>
      </c>
      <c r="I82" s="253">
        <f t="shared" si="14"/>
        <v>7300</v>
      </c>
      <c r="J82" s="266">
        <f t="shared" si="11"/>
        <v>40800</v>
      </c>
      <c r="K82" s="253">
        <f t="shared" si="15"/>
        <v>33500</v>
      </c>
      <c r="L82" s="23">
        <f t="shared" si="16"/>
        <v>7300</v>
      </c>
      <c r="M82" s="268">
        <f t="shared" si="12"/>
        <v>40800</v>
      </c>
      <c r="N82" s="272"/>
      <c r="Q82" s="272"/>
      <c r="V82" s="272"/>
      <c r="W82" s="272"/>
    </row>
    <row r="83" spans="1:23" s="7" customFormat="1" ht="20.100000000000001" customHeight="1">
      <c r="A83" s="254">
        <v>72</v>
      </c>
      <c r="B83" s="242" t="s">
        <v>396</v>
      </c>
      <c r="C83" s="317" t="s">
        <v>769</v>
      </c>
      <c r="D83" s="260" t="s">
        <v>768</v>
      </c>
      <c r="E83" s="256">
        <v>33500</v>
      </c>
      <c r="F83" s="238">
        <v>7300</v>
      </c>
      <c r="G83" s="264">
        <f t="shared" si="10"/>
        <v>40800</v>
      </c>
      <c r="H83" s="253">
        <f t="shared" si="13"/>
        <v>33500</v>
      </c>
      <c r="I83" s="253">
        <f t="shared" si="14"/>
        <v>7300</v>
      </c>
      <c r="J83" s="266">
        <f t="shared" si="11"/>
        <v>40800</v>
      </c>
      <c r="K83" s="253">
        <f t="shared" si="15"/>
        <v>33500</v>
      </c>
      <c r="L83" s="23">
        <f t="shared" si="16"/>
        <v>7300</v>
      </c>
      <c r="M83" s="268">
        <f t="shared" si="12"/>
        <v>40800</v>
      </c>
      <c r="N83" s="272"/>
      <c r="Q83" s="272"/>
      <c r="V83" s="272"/>
      <c r="W83" s="272"/>
    </row>
    <row r="84" spans="1:23" s="7" customFormat="1" ht="20.100000000000001" customHeight="1">
      <c r="A84" s="254">
        <v>73</v>
      </c>
      <c r="B84" s="242" t="s">
        <v>1317</v>
      </c>
      <c r="C84" s="317" t="s">
        <v>769</v>
      </c>
      <c r="D84" s="260" t="s">
        <v>768</v>
      </c>
      <c r="E84" s="256">
        <v>29500</v>
      </c>
      <c r="F84" s="238">
        <v>7300</v>
      </c>
      <c r="G84" s="264">
        <f t="shared" si="10"/>
        <v>36800</v>
      </c>
      <c r="H84" s="253">
        <f t="shared" si="13"/>
        <v>29500</v>
      </c>
      <c r="I84" s="253">
        <f t="shared" si="14"/>
        <v>7300</v>
      </c>
      <c r="J84" s="266">
        <f t="shared" si="11"/>
        <v>36800</v>
      </c>
      <c r="K84" s="253">
        <f t="shared" si="15"/>
        <v>29500</v>
      </c>
      <c r="L84" s="23">
        <f t="shared" si="16"/>
        <v>7300</v>
      </c>
      <c r="M84" s="268">
        <f t="shared" si="12"/>
        <v>36800</v>
      </c>
      <c r="N84" s="272"/>
      <c r="Q84" s="272"/>
      <c r="V84" s="272"/>
      <c r="W84" s="272"/>
    </row>
    <row r="85" spans="1:23" s="7" customFormat="1" ht="20.100000000000001" customHeight="1">
      <c r="A85" s="254">
        <v>74</v>
      </c>
      <c r="B85" s="242" t="s">
        <v>375</v>
      </c>
      <c r="C85" s="317" t="s">
        <v>769</v>
      </c>
      <c r="D85" s="260" t="s">
        <v>768</v>
      </c>
      <c r="E85" s="256"/>
      <c r="F85" s="238"/>
      <c r="G85" s="264">
        <f t="shared" si="10"/>
        <v>0</v>
      </c>
      <c r="H85" s="253">
        <f t="shared" si="13"/>
        <v>0</v>
      </c>
      <c r="I85" s="253">
        <f t="shared" si="14"/>
        <v>0</v>
      </c>
      <c r="J85" s="266">
        <f t="shared" si="11"/>
        <v>0</v>
      </c>
      <c r="K85" s="253">
        <f t="shared" si="15"/>
        <v>0</v>
      </c>
      <c r="L85" s="23">
        <f t="shared" si="16"/>
        <v>0</v>
      </c>
      <c r="M85" s="268">
        <f t="shared" si="12"/>
        <v>0</v>
      </c>
      <c r="N85" s="272"/>
      <c r="Q85" s="272"/>
      <c r="V85" s="272"/>
      <c r="W85" s="272"/>
    </row>
    <row r="86" spans="1:23" s="7" customFormat="1" ht="20.100000000000001" customHeight="1">
      <c r="A86" s="254">
        <v>75</v>
      </c>
      <c r="B86" s="242" t="s">
        <v>1318</v>
      </c>
      <c r="C86" s="317" t="s">
        <v>769</v>
      </c>
      <c r="D86" s="260" t="s">
        <v>768</v>
      </c>
      <c r="E86" s="256"/>
      <c r="F86" s="238"/>
      <c r="G86" s="264">
        <f t="shared" si="10"/>
        <v>0</v>
      </c>
      <c r="H86" s="253">
        <f t="shared" si="13"/>
        <v>0</v>
      </c>
      <c r="I86" s="253">
        <f t="shared" si="14"/>
        <v>0</v>
      </c>
      <c r="J86" s="266">
        <f t="shared" si="11"/>
        <v>0</v>
      </c>
      <c r="K86" s="253">
        <f t="shared" si="15"/>
        <v>0</v>
      </c>
      <c r="L86" s="23">
        <f t="shared" si="16"/>
        <v>0</v>
      </c>
      <c r="M86" s="268">
        <f t="shared" si="12"/>
        <v>0</v>
      </c>
      <c r="N86" s="272"/>
      <c r="Q86" s="272"/>
      <c r="V86" s="272"/>
      <c r="W86" s="272"/>
    </row>
    <row r="87" spans="1:23" s="7" customFormat="1" ht="20.100000000000001" customHeight="1">
      <c r="A87" s="254">
        <v>76</v>
      </c>
      <c r="B87" s="242" t="s">
        <v>372</v>
      </c>
      <c r="C87" s="317" t="s">
        <v>769</v>
      </c>
      <c r="D87" s="260" t="s">
        <v>768</v>
      </c>
      <c r="E87" s="256">
        <v>33500</v>
      </c>
      <c r="F87" s="238">
        <v>7300</v>
      </c>
      <c r="G87" s="264">
        <f t="shared" si="10"/>
        <v>40800</v>
      </c>
      <c r="H87" s="253">
        <f t="shared" si="13"/>
        <v>33500</v>
      </c>
      <c r="I87" s="253">
        <f t="shared" si="14"/>
        <v>7300</v>
      </c>
      <c r="J87" s="266">
        <f t="shared" si="11"/>
        <v>40800</v>
      </c>
      <c r="K87" s="253">
        <f t="shared" si="15"/>
        <v>33500</v>
      </c>
      <c r="L87" s="23">
        <f t="shared" si="16"/>
        <v>7300</v>
      </c>
      <c r="M87" s="268">
        <f t="shared" si="12"/>
        <v>40800</v>
      </c>
      <c r="N87" s="272"/>
      <c r="Q87" s="272"/>
      <c r="V87" s="272"/>
      <c r="W87" s="272"/>
    </row>
    <row r="88" spans="1:23" s="7" customFormat="1" ht="20.100000000000001" customHeight="1">
      <c r="A88" s="254">
        <v>77</v>
      </c>
      <c r="B88" s="242" t="s">
        <v>1344</v>
      </c>
      <c r="C88" s="317" t="s">
        <v>769</v>
      </c>
      <c r="D88" s="260" t="s">
        <v>768</v>
      </c>
      <c r="E88" s="256"/>
      <c r="F88" s="238"/>
      <c r="G88" s="264">
        <f t="shared" si="10"/>
        <v>0</v>
      </c>
      <c r="H88" s="253">
        <f t="shared" si="13"/>
        <v>0</v>
      </c>
      <c r="I88" s="253">
        <f t="shared" si="14"/>
        <v>0</v>
      </c>
      <c r="J88" s="266">
        <f t="shared" si="11"/>
        <v>0</v>
      </c>
      <c r="K88" s="253">
        <f t="shared" si="15"/>
        <v>0</v>
      </c>
      <c r="L88" s="23">
        <f t="shared" si="16"/>
        <v>0</v>
      </c>
      <c r="M88" s="268">
        <f t="shared" si="12"/>
        <v>0</v>
      </c>
      <c r="N88" s="272"/>
      <c r="Q88" s="272"/>
      <c r="V88" s="272"/>
      <c r="W88" s="272"/>
    </row>
    <row r="89" spans="1:23" s="7" customFormat="1" ht="20.100000000000001" customHeight="1">
      <c r="A89" s="254">
        <v>78</v>
      </c>
      <c r="B89" s="242" t="s">
        <v>1319</v>
      </c>
      <c r="C89" s="752"/>
      <c r="D89" s="260" t="s">
        <v>768</v>
      </c>
      <c r="E89" s="256">
        <v>50800</v>
      </c>
      <c r="F89" s="238">
        <v>7300</v>
      </c>
      <c r="G89" s="264">
        <f t="shared" si="10"/>
        <v>58100</v>
      </c>
      <c r="H89" s="253">
        <f t="shared" si="13"/>
        <v>50800</v>
      </c>
      <c r="I89" s="253">
        <f t="shared" si="14"/>
        <v>7300</v>
      </c>
      <c r="J89" s="266">
        <f t="shared" si="11"/>
        <v>58100</v>
      </c>
      <c r="K89" s="253">
        <f t="shared" si="15"/>
        <v>50800</v>
      </c>
      <c r="L89" s="23">
        <f t="shared" si="16"/>
        <v>7300</v>
      </c>
      <c r="M89" s="268">
        <f t="shared" si="12"/>
        <v>58100</v>
      </c>
      <c r="N89" s="272"/>
      <c r="Q89" s="272"/>
      <c r="V89" s="272"/>
      <c r="W89" s="272"/>
    </row>
    <row r="90" spans="1:23" s="7" customFormat="1" ht="20.100000000000001" customHeight="1">
      <c r="A90" s="254">
        <v>79</v>
      </c>
      <c r="B90" s="242" t="s">
        <v>1320</v>
      </c>
      <c r="C90" s="752"/>
      <c r="D90" s="260" t="s">
        <v>768</v>
      </c>
      <c r="E90" s="256">
        <v>50800</v>
      </c>
      <c r="F90" s="238">
        <v>7300</v>
      </c>
      <c r="G90" s="264">
        <f t="shared" si="10"/>
        <v>58100</v>
      </c>
      <c r="H90" s="253">
        <f t="shared" si="13"/>
        <v>50800</v>
      </c>
      <c r="I90" s="253">
        <f t="shared" si="14"/>
        <v>7300</v>
      </c>
      <c r="J90" s="266">
        <f t="shared" si="11"/>
        <v>58100</v>
      </c>
      <c r="K90" s="253">
        <f t="shared" si="15"/>
        <v>50800</v>
      </c>
      <c r="L90" s="23">
        <f t="shared" si="16"/>
        <v>7300</v>
      </c>
      <c r="M90" s="268">
        <f t="shared" si="12"/>
        <v>58100</v>
      </c>
      <c r="N90" s="272"/>
      <c r="Q90" s="272"/>
      <c r="V90" s="272"/>
      <c r="W90" s="272"/>
    </row>
    <row r="91" spans="1:23" s="7" customFormat="1" ht="20.100000000000001" customHeight="1">
      <c r="A91" s="254">
        <v>80</v>
      </c>
      <c r="B91" s="242" t="s">
        <v>412</v>
      </c>
      <c r="C91" s="752"/>
      <c r="D91" s="260" t="s">
        <v>768</v>
      </c>
      <c r="E91" s="256">
        <v>44100</v>
      </c>
      <c r="F91" s="238">
        <v>7300</v>
      </c>
      <c r="G91" s="264">
        <f t="shared" si="10"/>
        <v>51400</v>
      </c>
      <c r="H91" s="253">
        <f t="shared" si="13"/>
        <v>44100</v>
      </c>
      <c r="I91" s="253">
        <f t="shared" si="14"/>
        <v>7300</v>
      </c>
      <c r="J91" s="266">
        <f t="shared" si="11"/>
        <v>51400</v>
      </c>
      <c r="K91" s="253">
        <f t="shared" si="15"/>
        <v>44100</v>
      </c>
      <c r="L91" s="23">
        <f t="shared" si="16"/>
        <v>7300</v>
      </c>
      <c r="M91" s="268">
        <f t="shared" si="12"/>
        <v>51400</v>
      </c>
      <c r="N91" s="272"/>
      <c r="Q91" s="272"/>
      <c r="V91" s="272"/>
      <c r="W91" s="272"/>
    </row>
    <row r="92" spans="1:23" s="7" customFormat="1" ht="20.100000000000001" customHeight="1">
      <c r="A92" s="254">
        <v>81</v>
      </c>
      <c r="B92" s="242" t="s">
        <v>417</v>
      </c>
      <c r="C92" s="752"/>
      <c r="D92" s="260" t="s">
        <v>768</v>
      </c>
      <c r="E92" s="256">
        <v>46800</v>
      </c>
      <c r="F92" s="238">
        <v>7300</v>
      </c>
      <c r="G92" s="264">
        <f t="shared" si="10"/>
        <v>54100</v>
      </c>
      <c r="H92" s="253">
        <f t="shared" si="13"/>
        <v>46800</v>
      </c>
      <c r="I92" s="253">
        <f t="shared" si="14"/>
        <v>7300</v>
      </c>
      <c r="J92" s="266">
        <f t="shared" si="11"/>
        <v>54100</v>
      </c>
      <c r="K92" s="253">
        <f t="shared" si="15"/>
        <v>46800</v>
      </c>
      <c r="L92" s="23">
        <f t="shared" si="16"/>
        <v>7300</v>
      </c>
      <c r="M92" s="268">
        <f t="shared" si="12"/>
        <v>54100</v>
      </c>
      <c r="N92" s="272"/>
      <c r="Q92" s="272"/>
      <c r="V92" s="272"/>
      <c r="W92" s="272"/>
    </row>
    <row r="93" spans="1:23" s="7" customFormat="1" ht="20.100000000000001" customHeight="1">
      <c r="A93" s="254">
        <v>82</v>
      </c>
      <c r="B93" s="242" t="s">
        <v>423</v>
      </c>
      <c r="C93" s="752"/>
      <c r="D93" s="260" t="s">
        <v>768</v>
      </c>
      <c r="E93" s="256">
        <v>44100</v>
      </c>
      <c r="F93" s="238">
        <v>7300</v>
      </c>
      <c r="G93" s="264">
        <f t="shared" si="10"/>
        <v>51400</v>
      </c>
      <c r="H93" s="253">
        <f t="shared" si="13"/>
        <v>44100</v>
      </c>
      <c r="I93" s="253">
        <f t="shared" si="14"/>
        <v>7300</v>
      </c>
      <c r="J93" s="266">
        <f t="shared" si="11"/>
        <v>51400</v>
      </c>
      <c r="K93" s="253">
        <f t="shared" si="15"/>
        <v>44100</v>
      </c>
      <c r="L93" s="23">
        <f t="shared" si="16"/>
        <v>7300</v>
      </c>
      <c r="M93" s="268">
        <f t="shared" si="12"/>
        <v>51400</v>
      </c>
      <c r="N93" s="272"/>
      <c r="Q93" s="272"/>
      <c r="V93" s="272"/>
      <c r="W93" s="272"/>
    </row>
    <row r="94" spans="1:23" s="7" customFormat="1" ht="20.100000000000001" customHeight="1">
      <c r="A94" s="254">
        <v>83</v>
      </c>
      <c r="B94" s="242" t="s">
        <v>1321</v>
      </c>
      <c r="C94" s="752" t="s">
        <v>763</v>
      </c>
      <c r="D94" s="260" t="s">
        <v>768</v>
      </c>
      <c r="E94" s="256">
        <v>45500</v>
      </c>
      <c r="F94" s="238">
        <f>51200-E94</f>
        <v>5700</v>
      </c>
      <c r="G94" s="264">
        <f t="shared" si="10"/>
        <v>51200</v>
      </c>
      <c r="H94" s="253">
        <f t="shared" si="13"/>
        <v>45500</v>
      </c>
      <c r="I94" s="253">
        <f t="shared" si="14"/>
        <v>5700</v>
      </c>
      <c r="J94" s="266">
        <f t="shared" si="11"/>
        <v>51200</v>
      </c>
      <c r="K94" s="253">
        <f t="shared" si="15"/>
        <v>45500</v>
      </c>
      <c r="L94" s="23">
        <f t="shared" si="16"/>
        <v>5700</v>
      </c>
      <c r="M94" s="268">
        <f t="shared" si="12"/>
        <v>51200</v>
      </c>
      <c r="N94" s="272"/>
      <c r="Q94" s="272"/>
      <c r="V94" s="272"/>
      <c r="W94" s="272"/>
    </row>
    <row r="95" spans="1:23" s="7" customFormat="1" ht="20.100000000000001" customHeight="1">
      <c r="A95" s="254">
        <v>84</v>
      </c>
      <c r="B95" s="242" t="s">
        <v>1322</v>
      </c>
      <c r="C95" s="752" t="s">
        <v>763</v>
      </c>
      <c r="D95" s="260" t="s">
        <v>768</v>
      </c>
      <c r="E95" s="256">
        <v>33500</v>
      </c>
      <c r="F95" s="238">
        <f>39200-E95</f>
        <v>5700</v>
      </c>
      <c r="G95" s="264">
        <f t="shared" si="10"/>
        <v>39200</v>
      </c>
      <c r="H95" s="253">
        <f t="shared" si="13"/>
        <v>33500</v>
      </c>
      <c r="I95" s="253">
        <f t="shared" si="14"/>
        <v>5700</v>
      </c>
      <c r="J95" s="266">
        <f t="shared" si="11"/>
        <v>39200</v>
      </c>
      <c r="K95" s="253">
        <f t="shared" si="15"/>
        <v>33500</v>
      </c>
      <c r="L95" s="23">
        <f t="shared" si="16"/>
        <v>5700</v>
      </c>
      <c r="M95" s="268">
        <f t="shared" si="12"/>
        <v>39200</v>
      </c>
      <c r="N95" s="272"/>
      <c r="Q95" s="272"/>
      <c r="V95" s="272"/>
      <c r="W95" s="272"/>
    </row>
    <row r="96" spans="1:23" s="7" customFormat="1" ht="20.100000000000001" customHeight="1">
      <c r="A96" s="254">
        <v>85</v>
      </c>
      <c r="B96" s="242" t="s">
        <v>382</v>
      </c>
      <c r="C96" s="752" t="s">
        <v>763</v>
      </c>
      <c r="D96" s="260" t="s">
        <v>768</v>
      </c>
      <c r="E96" s="256"/>
      <c r="F96" s="238"/>
      <c r="G96" s="264">
        <f t="shared" si="10"/>
        <v>0</v>
      </c>
      <c r="H96" s="253">
        <f t="shared" si="13"/>
        <v>0</v>
      </c>
      <c r="I96" s="253">
        <f t="shared" si="14"/>
        <v>0</v>
      </c>
      <c r="J96" s="266">
        <f t="shared" si="11"/>
        <v>0</v>
      </c>
      <c r="K96" s="253">
        <f t="shared" si="15"/>
        <v>0</v>
      </c>
      <c r="L96" s="23">
        <f t="shared" si="16"/>
        <v>0</v>
      </c>
      <c r="M96" s="268">
        <f t="shared" si="12"/>
        <v>0</v>
      </c>
      <c r="N96" s="272"/>
      <c r="Q96" s="272"/>
      <c r="V96" s="272"/>
      <c r="W96" s="272"/>
    </row>
    <row r="97" spans="1:23" s="7" customFormat="1" ht="20.100000000000001" customHeight="1">
      <c r="A97" s="254">
        <v>86</v>
      </c>
      <c r="B97" s="242" t="s">
        <v>1323</v>
      </c>
      <c r="C97" s="752" t="s">
        <v>763</v>
      </c>
      <c r="D97" s="260" t="s">
        <v>768</v>
      </c>
      <c r="E97" s="256">
        <v>33500</v>
      </c>
      <c r="F97" s="238">
        <v>5700</v>
      </c>
      <c r="G97" s="264">
        <f t="shared" si="10"/>
        <v>39200</v>
      </c>
      <c r="H97" s="253">
        <f t="shared" si="13"/>
        <v>33500</v>
      </c>
      <c r="I97" s="253">
        <f t="shared" si="14"/>
        <v>5700</v>
      </c>
      <c r="J97" s="266">
        <f t="shared" si="11"/>
        <v>39200</v>
      </c>
      <c r="K97" s="253">
        <f t="shared" si="15"/>
        <v>33500</v>
      </c>
      <c r="L97" s="23">
        <f t="shared" si="16"/>
        <v>5700</v>
      </c>
      <c r="M97" s="268">
        <f t="shared" si="12"/>
        <v>39200</v>
      </c>
      <c r="N97" s="272"/>
      <c r="Q97" s="272"/>
      <c r="V97" s="272"/>
      <c r="W97" s="272"/>
    </row>
    <row r="98" spans="1:23" s="7" customFormat="1" ht="20.100000000000001" customHeight="1">
      <c r="A98" s="254">
        <v>87</v>
      </c>
      <c r="B98" s="242" t="s">
        <v>1324</v>
      </c>
      <c r="C98" s="752" t="s">
        <v>763</v>
      </c>
      <c r="D98" s="260" t="s">
        <v>768</v>
      </c>
      <c r="E98" s="256">
        <v>33500</v>
      </c>
      <c r="F98" s="238">
        <f>40800-E98</f>
        <v>7300</v>
      </c>
      <c r="G98" s="264">
        <f t="shared" si="10"/>
        <v>40800</v>
      </c>
      <c r="H98" s="253">
        <f t="shared" si="13"/>
        <v>33500</v>
      </c>
      <c r="I98" s="253">
        <f t="shared" si="14"/>
        <v>7300</v>
      </c>
      <c r="J98" s="266">
        <f t="shared" si="11"/>
        <v>40800</v>
      </c>
      <c r="K98" s="253">
        <f t="shared" si="15"/>
        <v>33500</v>
      </c>
      <c r="L98" s="23">
        <f t="shared" si="16"/>
        <v>7300</v>
      </c>
      <c r="M98" s="268">
        <f t="shared" si="12"/>
        <v>40800</v>
      </c>
      <c r="N98" s="272"/>
      <c r="Q98" s="272"/>
      <c r="V98" s="272"/>
      <c r="W98" s="272"/>
    </row>
    <row r="99" spans="1:23" s="7" customFormat="1" ht="20.100000000000001" customHeight="1">
      <c r="A99" s="254"/>
      <c r="B99" s="242" t="s">
        <v>1432</v>
      </c>
      <c r="C99" s="752" t="s">
        <v>763</v>
      </c>
      <c r="D99" s="260" t="s">
        <v>768</v>
      </c>
      <c r="E99" s="256">
        <v>33500</v>
      </c>
      <c r="F99" s="238">
        <v>5700</v>
      </c>
      <c r="G99" s="264">
        <f>E99+F99</f>
        <v>39200</v>
      </c>
      <c r="H99" s="253">
        <f t="shared" si="13"/>
        <v>33500</v>
      </c>
      <c r="I99" s="253">
        <f t="shared" si="14"/>
        <v>5700</v>
      </c>
      <c r="J99" s="266">
        <f>H99+I99</f>
        <v>39200</v>
      </c>
      <c r="K99" s="253">
        <f t="shared" si="15"/>
        <v>33500</v>
      </c>
      <c r="L99" s="23">
        <f t="shared" si="16"/>
        <v>5700</v>
      </c>
      <c r="M99" s="268">
        <f>K99+L99</f>
        <v>39200</v>
      </c>
      <c r="N99" s="272"/>
      <c r="Q99" s="272"/>
      <c r="V99" s="272"/>
      <c r="W99" s="272"/>
    </row>
    <row r="100" spans="1:23" s="7" customFormat="1" ht="20.100000000000001" customHeight="1">
      <c r="A100" s="254">
        <v>88</v>
      </c>
      <c r="B100" s="242" t="s">
        <v>1325</v>
      </c>
      <c r="C100" s="317"/>
      <c r="D100" s="260" t="s">
        <v>768</v>
      </c>
      <c r="E100" s="256">
        <v>50800</v>
      </c>
      <c r="F100" s="238">
        <v>7300</v>
      </c>
      <c r="G100" s="264">
        <f t="shared" si="10"/>
        <v>58100</v>
      </c>
      <c r="H100" s="253">
        <f t="shared" si="13"/>
        <v>50800</v>
      </c>
      <c r="I100" s="253">
        <f t="shared" si="14"/>
        <v>7300</v>
      </c>
      <c r="J100" s="266">
        <f t="shared" si="11"/>
        <v>58100</v>
      </c>
      <c r="K100" s="253">
        <f t="shared" si="15"/>
        <v>50800</v>
      </c>
      <c r="L100" s="23">
        <f t="shared" si="16"/>
        <v>7300</v>
      </c>
      <c r="M100" s="268">
        <f t="shared" si="12"/>
        <v>58100</v>
      </c>
      <c r="N100" s="272"/>
      <c r="Q100" s="272"/>
      <c r="V100" s="272"/>
      <c r="W100" s="272"/>
    </row>
    <row r="101" spans="1:23" s="7" customFormat="1" ht="20.100000000000001" customHeight="1">
      <c r="A101" s="254">
        <v>89</v>
      </c>
      <c r="B101" s="242" t="s">
        <v>1326</v>
      </c>
      <c r="C101" s="317"/>
      <c r="D101" s="260" t="s">
        <v>768</v>
      </c>
      <c r="E101" s="256"/>
      <c r="F101" s="238"/>
      <c r="G101" s="264">
        <f t="shared" si="10"/>
        <v>0</v>
      </c>
      <c r="H101" s="253">
        <f t="shared" si="13"/>
        <v>0</v>
      </c>
      <c r="I101" s="253">
        <f t="shared" si="14"/>
        <v>0</v>
      </c>
      <c r="J101" s="266">
        <f t="shared" si="11"/>
        <v>0</v>
      </c>
      <c r="K101" s="253">
        <f t="shared" si="15"/>
        <v>0</v>
      </c>
      <c r="L101" s="23">
        <f t="shared" si="16"/>
        <v>0</v>
      </c>
      <c r="M101" s="268">
        <f t="shared" si="12"/>
        <v>0</v>
      </c>
      <c r="N101" s="272"/>
      <c r="Q101" s="272"/>
      <c r="V101" s="272"/>
      <c r="W101" s="272"/>
    </row>
    <row r="102" spans="1:23" s="7" customFormat="1" ht="20.100000000000001" customHeight="1">
      <c r="A102" s="254">
        <v>90</v>
      </c>
      <c r="B102" s="242" t="s">
        <v>432</v>
      </c>
      <c r="C102" s="317"/>
      <c r="D102" s="260" t="s">
        <v>768</v>
      </c>
      <c r="E102" s="256"/>
      <c r="F102" s="238"/>
      <c r="G102" s="264">
        <f t="shared" si="10"/>
        <v>0</v>
      </c>
      <c r="H102" s="253">
        <f t="shared" si="13"/>
        <v>0</v>
      </c>
      <c r="I102" s="253">
        <f t="shared" si="14"/>
        <v>0</v>
      </c>
      <c r="J102" s="266">
        <f t="shared" si="11"/>
        <v>0</v>
      </c>
      <c r="K102" s="253">
        <f t="shared" si="15"/>
        <v>0</v>
      </c>
      <c r="L102" s="23">
        <f t="shared" si="16"/>
        <v>0</v>
      </c>
      <c r="M102" s="268">
        <f t="shared" si="12"/>
        <v>0</v>
      </c>
      <c r="N102" s="272"/>
      <c r="Q102" s="272"/>
      <c r="V102" s="272"/>
      <c r="W102" s="272"/>
    </row>
    <row r="103" spans="1:23" s="7" customFormat="1" ht="20.100000000000001" customHeight="1">
      <c r="A103" s="254">
        <v>91</v>
      </c>
      <c r="B103" s="242" t="s">
        <v>406</v>
      </c>
      <c r="C103" s="317"/>
      <c r="D103" s="260" t="s">
        <v>768</v>
      </c>
      <c r="E103" s="256">
        <v>50800</v>
      </c>
      <c r="F103" s="238">
        <v>7300</v>
      </c>
      <c r="G103" s="264">
        <f t="shared" si="10"/>
        <v>58100</v>
      </c>
      <c r="H103" s="253">
        <f t="shared" si="13"/>
        <v>50800</v>
      </c>
      <c r="I103" s="253">
        <f t="shared" si="14"/>
        <v>7300</v>
      </c>
      <c r="J103" s="266">
        <f t="shared" si="11"/>
        <v>58100</v>
      </c>
      <c r="K103" s="253">
        <f t="shared" si="15"/>
        <v>50800</v>
      </c>
      <c r="L103" s="23">
        <f t="shared" si="16"/>
        <v>7300</v>
      </c>
      <c r="M103" s="268">
        <f t="shared" si="12"/>
        <v>58100</v>
      </c>
      <c r="N103" s="272"/>
      <c r="Q103" s="272"/>
      <c r="V103" s="272"/>
      <c r="W103" s="272"/>
    </row>
    <row r="104" spans="1:23" s="7" customFormat="1" ht="20.100000000000001" customHeight="1">
      <c r="A104" s="254">
        <v>92</v>
      </c>
      <c r="B104" s="242" t="s">
        <v>1327</v>
      </c>
      <c r="C104" s="317"/>
      <c r="D104" s="260" t="s">
        <v>768</v>
      </c>
      <c r="E104" s="256"/>
      <c r="F104" s="238"/>
      <c r="G104" s="264">
        <f t="shared" si="10"/>
        <v>0</v>
      </c>
      <c r="H104" s="253">
        <f t="shared" si="13"/>
        <v>0</v>
      </c>
      <c r="I104" s="253">
        <f t="shared" si="14"/>
        <v>0</v>
      </c>
      <c r="J104" s="266">
        <f t="shared" si="11"/>
        <v>0</v>
      </c>
      <c r="K104" s="253">
        <f t="shared" si="15"/>
        <v>0</v>
      </c>
      <c r="L104" s="23">
        <f t="shared" si="16"/>
        <v>0</v>
      </c>
      <c r="M104" s="268">
        <f t="shared" si="12"/>
        <v>0</v>
      </c>
      <c r="N104" s="272"/>
      <c r="Q104" s="272"/>
      <c r="V104" s="272"/>
      <c r="W104" s="272"/>
    </row>
    <row r="105" spans="1:23" s="7" customFormat="1" ht="20.100000000000001" customHeight="1">
      <c r="A105" s="254">
        <v>93</v>
      </c>
      <c r="B105" s="242" t="s">
        <v>1328</v>
      </c>
      <c r="C105" s="317"/>
      <c r="D105" s="260" t="s">
        <v>768</v>
      </c>
      <c r="E105" s="256">
        <v>53400</v>
      </c>
      <c r="F105" s="238">
        <v>7300</v>
      </c>
      <c r="G105" s="264">
        <f t="shared" si="10"/>
        <v>60700</v>
      </c>
      <c r="H105" s="253">
        <f t="shared" si="13"/>
        <v>53400</v>
      </c>
      <c r="I105" s="253">
        <f t="shared" si="14"/>
        <v>7300</v>
      </c>
      <c r="J105" s="266">
        <f t="shared" si="11"/>
        <v>60700</v>
      </c>
      <c r="K105" s="253">
        <f t="shared" si="15"/>
        <v>53400</v>
      </c>
      <c r="L105" s="23">
        <f t="shared" si="16"/>
        <v>7300</v>
      </c>
      <c r="M105" s="268">
        <f t="shared" si="12"/>
        <v>60700</v>
      </c>
      <c r="N105" s="272"/>
      <c r="Q105" s="272"/>
      <c r="V105" s="272"/>
      <c r="W105" s="272"/>
    </row>
    <row r="106" spans="1:23" s="7" customFormat="1" ht="20.100000000000001" customHeight="1">
      <c r="A106" s="254">
        <v>94</v>
      </c>
      <c r="B106" s="242" t="s">
        <v>409</v>
      </c>
      <c r="C106" s="317"/>
      <c r="D106" s="260" t="s">
        <v>768</v>
      </c>
      <c r="E106" s="256">
        <v>53400</v>
      </c>
      <c r="F106" s="238">
        <v>7300</v>
      </c>
      <c r="G106" s="264">
        <f t="shared" si="10"/>
        <v>60700</v>
      </c>
      <c r="H106" s="253">
        <f t="shared" si="13"/>
        <v>53400</v>
      </c>
      <c r="I106" s="253">
        <f t="shared" si="14"/>
        <v>7300</v>
      </c>
      <c r="J106" s="266">
        <f t="shared" si="11"/>
        <v>60700</v>
      </c>
      <c r="K106" s="253">
        <f t="shared" si="15"/>
        <v>53400</v>
      </c>
      <c r="L106" s="23">
        <f t="shared" si="16"/>
        <v>7300</v>
      </c>
      <c r="M106" s="268">
        <f t="shared" si="12"/>
        <v>60700</v>
      </c>
      <c r="N106" s="272"/>
      <c r="Q106" s="272"/>
      <c r="V106" s="272"/>
      <c r="W106" s="272"/>
    </row>
    <row r="107" spans="1:23" s="7" customFormat="1" ht="20.100000000000001" customHeight="1">
      <c r="A107" s="254">
        <v>95</v>
      </c>
      <c r="B107" s="242" t="s">
        <v>1329</v>
      </c>
      <c r="C107" s="317"/>
      <c r="D107" s="260" t="s">
        <v>768</v>
      </c>
      <c r="E107" s="256"/>
      <c r="F107" s="238"/>
      <c r="G107" s="264">
        <f t="shared" si="10"/>
        <v>0</v>
      </c>
      <c r="H107" s="253">
        <f t="shared" si="13"/>
        <v>0</v>
      </c>
      <c r="I107" s="253">
        <f t="shared" si="14"/>
        <v>0</v>
      </c>
      <c r="J107" s="266">
        <f t="shared" si="11"/>
        <v>0</v>
      </c>
      <c r="K107" s="253">
        <f t="shared" si="15"/>
        <v>0</v>
      </c>
      <c r="L107" s="23">
        <f t="shared" si="16"/>
        <v>0</v>
      </c>
      <c r="M107" s="268">
        <f t="shared" si="12"/>
        <v>0</v>
      </c>
      <c r="N107" s="272"/>
      <c r="Q107" s="272"/>
      <c r="V107" s="272"/>
      <c r="W107" s="272"/>
    </row>
    <row r="108" spans="1:23" s="7" customFormat="1" ht="20.100000000000001" customHeight="1">
      <c r="A108" s="254">
        <v>96</v>
      </c>
      <c r="B108" s="242" t="s">
        <v>410</v>
      </c>
      <c r="C108" s="317"/>
      <c r="D108" s="260" t="s">
        <v>768</v>
      </c>
      <c r="E108" s="256"/>
      <c r="F108" s="238"/>
      <c r="G108" s="264">
        <f t="shared" si="10"/>
        <v>0</v>
      </c>
      <c r="H108" s="253">
        <f t="shared" si="13"/>
        <v>0</v>
      </c>
      <c r="I108" s="253">
        <f t="shared" si="14"/>
        <v>0</v>
      </c>
      <c r="J108" s="266">
        <f t="shared" si="11"/>
        <v>0</v>
      </c>
      <c r="K108" s="253">
        <f t="shared" si="15"/>
        <v>0</v>
      </c>
      <c r="L108" s="23">
        <f t="shared" si="16"/>
        <v>0</v>
      </c>
      <c r="M108" s="268">
        <f t="shared" si="12"/>
        <v>0</v>
      </c>
      <c r="N108" s="272"/>
      <c r="Q108" s="272"/>
      <c r="V108" s="272"/>
      <c r="W108" s="272"/>
    </row>
    <row r="109" spans="1:23" s="7" customFormat="1" ht="20.100000000000001" customHeight="1">
      <c r="A109" s="254">
        <v>97</v>
      </c>
      <c r="B109" s="242" t="s">
        <v>1330</v>
      </c>
      <c r="C109" s="317"/>
      <c r="D109" s="260" t="s">
        <v>768</v>
      </c>
      <c r="E109" s="256"/>
      <c r="F109" s="238"/>
      <c r="G109" s="264">
        <f t="shared" si="10"/>
        <v>0</v>
      </c>
      <c r="H109" s="253">
        <f t="shared" si="13"/>
        <v>0</v>
      </c>
      <c r="I109" s="253">
        <f t="shared" si="14"/>
        <v>0</v>
      </c>
      <c r="J109" s="266">
        <f t="shared" si="11"/>
        <v>0</v>
      </c>
      <c r="K109" s="253">
        <f t="shared" si="15"/>
        <v>0</v>
      </c>
      <c r="L109" s="23">
        <f t="shared" si="16"/>
        <v>0</v>
      </c>
      <c r="M109" s="268">
        <f t="shared" si="12"/>
        <v>0</v>
      </c>
      <c r="N109" s="272"/>
      <c r="Q109" s="272"/>
      <c r="V109" s="272"/>
      <c r="W109" s="272"/>
    </row>
    <row r="110" spans="1:23" s="7" customFormat="1" ht="20.100000000000001" customHeight="1">
      <c r="A110" s="254">
        <v>98</v>
      </c>
      <c r="B110" s="242" t="s">
        <v>1331</v>
      </c>
      <c r="C110" s="317"/>
      <c r="D110" s="260" t="s">
        <v>768</v>
      </c>
      <c r="E110" s="256">
        <v>50800</v>
      </c>
      <c r="F110" s="238">
        <v>7300</v>
      </c>
      <c r="G110" s="264">
        <f t="shared" si="10"/>
        <v>58100</v>
      </c>
      <c r="H110" s="253">
        <f t="shared" si="13"/>
        <v>50800</v>
      </c>
      <c r="I110" s="253">
        <f t="shared" si="14"/>
        <v>7300</v>
      </c>
      <c r="J110" s="266">
        <f t="shared" si="11"/>
        <v>58100</v>
      </c>
      <c r="K110" s="253">
        <f t="shared" si="15"/>
        <v>50800</v>
      </c>
      <c r="L110" s="23">
        <f t="shared" si="16"/>
        <v>7300</v>
      </c>
      <c r="M110" s="268">
        <f t="shared" si="12"/>
        <v>58100</v>
      </c>
      <c r="N110" s="272"/>
      <c r="Q110" s="272"/>
      <c r="V110" s="272"/>
      <c r="W110" s="272"/>
    </row>
    <row r="111" spans="1:23" s="7" customFormat="1" ht="20.100000000000001" customHeight="1">
      <c r="A111" s="254">
        <v>99</v>
      </c>
      <c r="B111" s="242" t="s">
        <v>438</v>
      </c>
      <c r="C111" s="317"/>
      <c r="D111" s="260" t="s">
        <v>768</v>
      </c>
      <c r="E111" s="256">
        <v>50800</v>
      </c>
      <c r="F111" s="238">
        <v>7300</v>
      </c>
      <c r="G111" s="264">
        <f t="shared" si="10"/>
        <v>58100</v>
      </c>
      <c r="H111" s="253">
        <f t="shared" si="13"/>
        <v>50800</v>
      </c>
      <c r="I111" s="253">
        <f t="shared" si="14"/>
        <v>7300</v>
      </c>
      <c r="J111" s="266">
        <f t="shared" si="11"/>
        <v>58100</v>
      </c>
      <c r="K111" s="253">
        <f t="shared" si="15"/>
        <v>50800</v>
      </c>
      <c r="L111" s="23">
        <f t="shared" si="16"/>
        <v>7300</v>
      </c>
      <c r="M111" s="268">
        <f t="shared" si="12"/>
        <v>58100</v>
      </c>
      <c r="N111" s="272"/>
      <c r="Q111" s="272"/>
      <c r="V111" s="272"/>
      <c r="W111" s="272"/>
    </row>
    <row r="112" spans="1:23" s="7" customFormat="1" ht="20.100000000000001" customHeight="1">
      <c r="A112" s="254">
        <v>100</v>
      </c>
      <c r="B112" s="242" t="s">
        <v>1345</v>
      </c>
      <c r="C112" s="317"/>
      <c r="D112" s="260" t="s">
        <v>768</v>
      </c>
      <c r="E112" s="256"/>
      <c r="F112" s="238"/>
      <c r="G112" s="264">
        <f t="shared" si="10"/>
        <v>0</v>
      </c>
      <c r="H112" s="256"/>
      <c r="I112" s="238"/>
      <c r="J112" s="266">
        <f t="shared" si="11"/>
        <v>0</v>
      </c>
      <c r="K112" s="253">
        <f t="shared" si="15"/>
        <v>0</v>
      </c>
      <c r="L112" s="23">
        <f t="shared" si="16"/>
        <v>0</v>
      </c>
      <c r="M112" s="268">
        <f t="shared" si="12"/>
        <v>0</v>
      </c>
      <c r="N112" s="272"/>
      <c r="Q112" s="272"/>
      <c r="V112" s="272"/>
      <c r="W112" s="272"/>
    </row>
    <row r="113" spans="1:23" s="7" customFormat="1" ht="20.100000000000001" customHeight="1">
      <c r="A113" s="254">
        <v>52</v>
      </c>
      <c r="B113" s="255"/>
      <c r="C113" s="255"/>
      <c r="D113" s="259"/>
      <c r="E113" s="256"/>
      <c r="F113" s="238"/>
      <c r="G113" s="264">
        <f>E113+F113</f>
        <v>0</v>
      </c>
      <c r="H113" s="256"/>
      <c r="I113" s="238"/>
      <c r="J113" s="266">
        <f>H113+I113</f>
        <v>0</v>
      </c>
      <c r="K113" s="256"/>
      <c r="L113" s="238"/>
      <c r="M113" s="268">
        <f>K113+L113</f>
        <v>0</v>
      </c>
      <c r="N113" s="272"/>
      <c r="Q113" s="272"/>
      <c r="V113" s="272"/>
      <c r="W113" s="272" t="s">
        <v>149</v>
      </c>
    </row>
    <row r="114" spans="1:23" ht="21.95" customHeight="1">
      <c r="A114" s="1489" t="s">
        <v>757</v>
      </c>
      <c r="B114" s="1490"/>
      <c r="C114" s="1490"/>
      <c r="D114" s="1490"/>
      <c r="E114" s="1490"/>
      <c r="F114" s="1490"/>
      <c r="G114" s="1490"/>
      <c r="H114" s="1490"/>
      <c r="I114" s="1490"/>
      <c r="J114" s="1490"/>
      <c r="K114" s="1490"/>
      <c r="L114" s="1490"/>
      <c r="M114" s="1491"/>
    </row>
    <row r="115" spans="1:23" s="7" customFormat="1" ht="20.100000000000001" customHeight="1">
      <c r="A115" s="240">
        <v>1</v>
      </c>
      <c r="B115" s="1504" t="s">
        <v>1354</v>
      </c>
      <c r="C115" s="757"/>
      <c r="D115" s="1516" t="s">
        <v>768</v>
      </c>
      <c r="E115" s="1507">
        <v>50600</v>
      </c>
      <c r="F115" s="1510">
        <f>54800-E115</f>
        <v>4200</v>
      </c>
      <c r="G115" s="1513">
        <f>E115+F115</f>
        <v>54800</v>
      </c>
      <c r="H115" s="1507">
        <v>50600</v>
      </c>
      <c r="I115" s="1510">
        <f>54800-H115</f>
        <v>4200</v>
      </c>
      <c r="J115" s="1513">
        <f>H115+I115</f>
        <v>54800</v>
      </c>
      <c r="K115" s="1507">
        <v>50600</v>
      </c>
      <c r="L115" s="1510">
        <f>54800-K115</f>
        <v>4200</v>
      </c>
      <c r="M115" s="1513">
        <f>K115+L115</f>
        <v>54800</v>
      </c>
    </row>
    <row r="116" spans="1:23" s="7" customFormat="1" ht="20.100000000000001" customHeight="1">
      <c r="A116" s="241">
        <v>2</v>
      </c>
      <c r="B116" s="1505"/>
      <c r="C116" s="258"/>
      <c r="D116" s="1517"/>
      <c r="E116" s="1508"/>
      <c r="F116" s="1511"/>
      <c r="G116" s="1514"/>
      <c r="H116" s="1508"/>
      <c r="I116" s="1511"/>
      <c r="J116" s="1514"/>
      <c r="K116" s="1508"/>
      <c r="L116" s="1511"/>
      <c r="M116" s="1514"/>
    </row>
    <row r="117" spans="1:23" s="7" customFormat="1" ht="20.100000000000001" customHeight="1">
      <c r="A117" s="241">
        <v>3</v>
      </c>
      <c r="B117" s="1505"/>
      <c r="C117" s="258"/>
      <c r="D117" s="1517"/>
      <c r="E117" s="1508"/>
      <c r="F117" s="1511"/>
      <c r="G117" s="1514"/>
      <c r="H117" s="1508"/>
      <c r="I117" s="1511"/>
      <c r="J117" s="1514"/>
      <c r="K117" s="1508"/>
      <c r="L117" s="1511"/>
      <c r="M117" s="1514"/>
    </row>
    <row r="118" spans="1:23" s="7" customFormat="1" ht="20.100000000000001" customHeight="1">
      <c r="A118" s="241">
        <v>4</v>
      </c>
      <c r="B118" s="1505"/>
      <c r="C118" s="258"/>
      <c r="D118" s="1517"/>
      <c r="E118" s="1508"/>
      <c r="F118" s="1511"/>
      <c r="G118" s="1514"/>
      <c r="H118" s="1508"/>
      <c r="I118" s="1511"/>
      <c r="J118" s="1514"/>
      <c r="K118" s="1508"/>
      <c r="L118" s="1511"/>
      <c r="M118" s="1514"/>
    </row>
    <row r="119" spans="1:23" s="7" customFormat="1" ht="20.100000000000001" customHeight="1">
      <c r="A119" s="241">
        <v>5</v>
      </c>
      <c r="B119" s="1505"/>
      <c r="C119" s="258"/>
      <c r="D119" s="1517"/>
      <c r="E119" s="1508"/>
      <c r="F119" s="1511"/>
      <c r="G119" s="1514"/>
      <c r="H119" s="1508"/>
      <c r="I119" s="1511"/>
      <c r="J119" s="1514"/>
      <c r="K119" s="1508"/>
      <c r="L119" s="1511"/>
      <c r="M119" s="1514"/>
    </row>
    <row r="120" spans="1:23" s="7" customFormat="1" ht="20.100000000000001" customHeight="1">
      <c r="A120" s="241">
        <v>6</v>
      </c>
      <c r="B120" s="1505"/>
      <c r="C120" s="258"/>
      <c r="D120" s="1517"/>
      <c r="E120" s="1508"/>
      <c r="F120" s="1511"/>
      <c r="G120" s="1514"/>
      <c r="H120" s="1508"/>
      <c r="I120" s="1511"/>
      <c r="J120" s="1514"/>
      <c r="K120" s="1508"/>
      <c r="L120" s="1511"/>
      <c r="M120" s="1514"/>
    </row>
    <row r="121" spans="1:23" s="7" customFormat="1" ht="20.100000000000001" customHeight="1">
      <c r="A121" s="241">
        <v>7</v>
      </c>
      <c r="B121" s="1506"/>
      <c r="C121" s="258"/>
      <c r="D121" s="1518"/>
      <c r="E121" s="1509"/>
      <c r="F121" s="1512"/>
      <c r="G121" s="1515"/>
      <c r="H121" s="1509"/>
      <c r="I121" s="1512"/>
      <c r="J121" s="1515"/>
      <c r="K121" s="1509"/>
      <c r="L121" s="1512"/>
      <c r="M121" s="1515"/>
    </row>
    <row r="122" spans="1:23" ht="21.95" customHeight="1">
      <c r="A122" s="1492" t="s">
        <v>758</v>
      </c>
      <c r="B122" s="1493"/>
      <c r="C122" s="1493"/>
      <c r="D122" s="1493"/>
      <c r="E122" s="1493"/>
      <c r="F122" s="1493"/>
      <c r="G122" s="1493"/>
      <c r="H122" s="1493"/>
      <c r="I122" s="1493"/>
      <c r="J122" s="1493"/>
      <c r="K122" s="1493"/>
      <c r="L122" s="1493"/>
      <c r="M122" s="1494"/>
    </row>
    <row r="123" spans="1:23" s="7" customFormat="1" ht="20.100000000000001" customHeight="1">
      <c r="A123" s="269">
        <v>1</v>
      </c>
      <c r="B123" s="1474" t="s">
        <v>1354</v>
      </c>
      <c r="C123" s="270"/>
      <c r="D123" s="1516" t="s">
        <v>768</v>
      </c>
      <c r="E123" s="1507">
        <v>50600</v>
      </c>
      <c r="F123" s="1510">
        <v>4200</v>
      </c>
      <c r="G123" s="1513">
        <f>E123+F123</f>
        <v>54800</v>
      </c>
      <c r="H123" s="1507">
        <v>50600</v>
      </c>
      <c r="I123" s="1510">
        <v>4200</v>
      </c>
      <c r="J123" s="1513">
        <f>H123+I123</f>
        <v>54800</v>
      </c>
      <c r="K123" s="1507">
        <v>50600</v>
      </c>
      <c r="L123" s="1510">
        <v>4200</v>
      </c>
      <c r="M123" s="1513">
        <f>K123+L123</f>
        <v>54800</v>
      </c>
    </row>
    <row r="124" spans="1:23" s="7" customFormat="1" ht="20.100000000000001" customHeight="1">
      <c r="A124" s="254">
        <v>2</v>
      </c>
      <c r="B124" s="1475"/>
      <c r="C124" s="258"/>
      <c r="D124" s="1517"/>
      <c r="E124" s="1508"/>
      <c r="F124" s="1511"/>
      <c r="G124" s="1514"/>
      <c r="H124" s="1508"/>
      <c r="I124" s="1511"/>
      <c r="J124" s="1514"/>
      <c r="K124" s="1508"/>
      <c r="L124" s="1511"/>
      <c r="M124" s="1514"/>
    </row>
    <row r="125" spans="1:23" s="7" customFormat="1" ht="20.100000000000001" customHeight="1">
      <c r="A125" s="254">
        <v>3</v>
      </c>
      <c r="B125" s="1476"/>
      <c r="C125" s="258"/>
      <c r="D125" s="1517"/>
      <c r="E125" s="1508"/>
      <c r="F125" s="1511"/>
      <c r="G125" s="1514"/>
      <c r="H125" s="1508"/>
      <c r="I125" s="1511"/>
      <c r="J125" s="1514"/>
      <c r="K125" s="1508"/>
      <c r="L125" s="1511"/>
      <c r="M125" s="1514"/>
    </row>
    <row r="126" spans="1:23" ht="21.95" hidden="1" customHeight="1">
      <c r="A126" s="1478" t="s">
        <v>828</v>
      </c>
      <c r="B126" s="1479"/>
      <c r="C126" s="1479"/>
      <c r="D126" s="1479"/>
      <c r="E126" s="1479"/>
      <c r="F126" s="1479"/>
      <c r="G126" s="1479"/>
      <c r="H126" s="1479"/>
      <c r="I126" s="1479"/>
      <c r="J126" s="1479"/>
      <c r="K126" s="1479"/>
      <c r="L126" s="1479"/>
      <c r="M126" s="1480"/>
    </row>
    <row r="127" spans="1:23" s="7" customFormat="1" ht="20.100000000000001" hidden="1" customHeight="1">
      <c r="A127" s="252">
        <v>1</v>
      </c>
      <c r="B127" s="257"/>
      <c r="C127" s="257"/>
      <c r="D127" s="261"/>
      <c r="E127" s="253"/>
      <c r="F127" s="23"/>
      <c r="G127" s="263">
        <f t="shared" ref="G127:G137" si="17">E127+F127</f>
        <v>0</v>
      </c>
      <c r="H127" s="253"/>
      <c r="I127" s="23"/>
      <c r="J127" s="266">
        <f t="shared" ref="J127:J137" si="18">H127+I127</f>
        <v>0</v>
      </c>
      <c r="K127" s="253"/>
      <c r="L127" s="23"/>
      <c r="M127" s="268">
        <f t="shared" ref="M127:M137" si="19">K127+L127</f>
        <v>0</v>
      </c>
    </row>
    <row r="128" spans="1:23" s="7" customFormat="1" ht="20.100000000000001" hidden="1" customHeight="1">
      <c r="A128" s="254">
        <v>2</v>
      </c>
      <c r="B128" s="258"/>
      <c r="C128" s="258"/>
      <c r="D128" s="262"/>
      <c r="E128" s="256"/>
      <c r="F128" s="238"/>
      <c r="G128" s="264">
        <f t="shared" si="17"/>
        <v>0</v>
      </c>
      <c r="H128" s="256"/>
      <c r="I128" s="238"/>
      <c r="J128" s="266">
        <f t="shared" si="18"/>
        <v>0</v>
      </c>
      <c r="K128" s="256"/>
      <c r="L128" s="238"/>
      <c r="M128" s="268">
        <f t="shared" si="19"/>
        <v>0</v>
      </c>
    </row>
    <row r="129" spans="1:13" s="7" customFormat="1" ht="20.100000000000001" hidden="1" customHeight="1">
      <c r="A129" s="254">
        <v>3</v>
      </c>
      <c r="B129" s="258"/>
      <c r="C129" s="258"/>
      <c r="D129" s="262"/>
      <c r="E129" s="256"/>
      <c r="F129" s="238"/>
      <c r="G129" s="264">
        <f t="shared" si="17"/>
        <v>0</v>
      </c>
      <c r="H129" s="256"/>
      <c r="I129" s="238"/>
      <c r="J129" s="266">
        <f t="shared" si="18"/>
        <v>0</v>
      </c>
      <c r="K129" s="256"/>
      <c r="L129" s="238"/>
      <c r="M129" s="268">
        <f t="shared" si="19"/>
        <v>0</v>
      </c>
    </row>
    <row r="130" spans="1:13" s="7" customFormat="1" ht="20.100000000000001" hidden="1" customHeight="1">
      <c r="A130" s="254">
        <v>4</v>
      </c>
      <c r="B130" s="258"/>
      <c r="C130" s="258"/>
      <c r="D130" s="262"/>
      <c r="E130" s="256"/>
      <c r="F130" s="238"/>
      <c r="G130" s="264">
        <f t="shared" si="17"/>
        <v>0</v>
      </c>
      <c r="H130" s="256"/>
      <c r="I130" s="238"/>
      <c r="J130" s="266">
        <f t="shared" si="18"/>
        <v>0</v>
      </c>
      <c r="K130" s="256"/>
      <c r="L130" s="238"/>
      <c r="M130" s="268">
        <f t="shared" si="19"/>
        <v>0</v>
      </c>
    </row>
    <row r="131" spans="1:13" s="7" customFormat="1" ht="20.100000000000001" hidden="1" customHeight="1">
      <c r="A131" s="254">
        <v>5</v>
      </c>
      <c r="B131" s="258"/>
      <c r="C131" s="258"/>
      <c r="D131" s="262"/>
      <c r="E131" s="256"/>
      <c r="F131" s="238"/>
      <c r="G131" s="264">
        <f t="shared" si="17"/>
        <v>0</v>
      </c>
      <c r="H131" s="256"/>
      <c r="I131" s="238"/>
      <c r="J131" s="266">
        <f t="shared" si="18"/>
        <v>0</v>
      </c>
      <c r="K131" s="256"/>
      <c r="L131" s="238"/>
      <c r="M131" s="268">
        <f t="shared" si="19"/>
        <v>0</v>
      </c>
    </row>
    <row r="132" spans="1:13" s="7" customFormat="1" ht="20.100000000000001" hidden="1" customHeight="1">
      <c r="A132" s="254">
        <v>6</v>
      </c>
      <c r="B132" s="258"/>
      <c r="C132" s="258"/>
      <c r="D132" s="262"/>
      <c r="E132" s="256"/>
      <c r="F132" s="238"/>
      <c r="G132" s="264">
        <f t="shared" si="17"/>
        <v>0</v>
      </c>
      <c r="H132" s="256"/>
      <c r="I132" s="238"/>
      <c r="J132" s="266">
        <f t="shared" si="18"/>
        <v>0</v>
      </c>
      <c r="K132" s="256"/>
      <c r="L132" s="238"/>
      <c r="M132" s="268">
        <f t="shared" si="19"/>
        <v>0</v>
      </c>
    </row>
    <row r="133" spans="1:13" ht="21.95" hidden="1" customHeight="1">
      <c r="A133" s="1478" t="s">
        <v>824</v>
      </c>
      <c r="B133" s="1479"/>
      <c r="C133" s="1479"/>
      <c r="D133" s="1479"/>
      <c r="E133" s="1479"/>
      <c r="F133" s="1479"/>
      <c r="G133" s="1479"/>
      <c r="H133" s="1479"/>
      <c r="I133" s="1479"/>
      <c r="J133" s="1479"/>
      <c r="K133" s="1479"/>
      <c r="L133" s="1479"/>
      <c r="M133" s="1480"/>
    </row>
    <row r="134" spans="1:13" s="7" customFormat="1" ht="20.100000000000001" hidden="1" customHeight="1">
      <c r="A134" s="254">
        <v>1</v>
      </c>
      <c r="B134" s="258"/>
      <c r="C134" s="258"/>
      <c r="D134" s="262"/>
      <c r="E134" s="256"/>
      <c r="F134" s="238"/>
      <c r="G134" s="264">
        <f t="shared" si="17"/>
        <v>0</v>
      </c>
      <c r="H134" s="256"/>
      <c r="I134" s="238"/>
      <c r="J134" s="266">
        <f t="shared" si="18"/>
        <v>0</v>
      </c>
      <c r="K134" s="256"/>
      <c r="L134" s="238"/>
      <c r="M134" s="268">
        <f t="shared" si="19"/>
        <v>0</v>
      </c>
    </row>
    <row r="135" spans="1:13" s="7" customFormat="1" ht="20.100000000000001" hidden="1" customHeight="1">
      <c r="A135" s="254">
        <v>2</v>
      </c>
      <c r="B135" s="258"/>
      <c r="C135" s="258"/>
      <c r="D135" s="262"/>
      <c r="E135" s="256"/>
      <c r="F135" s="238"/>
      <c r="G135" s="264"/>
      <c r="H135" s="256"/>
      <c r="I135" s="238"/>
      <c r="J135" s="266"/>
      <c r="K135" s="256"/>
      <c r="L135" s="238"/>
      <c r="M135" s="268"/>
    </row>
    <row r="136" spans="1:13" s="7" customFormat="1" ht="20.100000000000001" hidden="1" customHeight="1">
      <c r="A136" s="254">
        <v>3</v>
      </c>
      <c r="B136" s="258"/>
      <c r="C136" s="258"/>
      <c r="D136" s="262"/>
      <c r="E136" s="256"/>
      <c r="F136" s="238"/>
      <c r="G136" s="264">
        <f t="shared" si="17"/>
        <v>0</v>
      </c>
      <c r="H136" s="256"/>
      <c r="I136" s="238"/>
      <c r="J136" s="266">
        <f t="shared" si="18"/>
        <v>0</v>
      </c>
      <c r="K136" s="256"/>
      <c r="L136" s="238"/>
      <c r="M136" s="268">
        <f t="shared" si="19"/>
        <v>0</v>
      </c>
    </row>
    <row r="137" spans="1:13" s="7" customFormat="1" ht="20.100000000000001" hidden="1" customHeight="1">
      <c r="A137" s="254">
        <v>4</v>
      </c>
      <c r="B137" s="258"/>
      <c r="C137" s="258"/>
      <c r="D137" s="262"/>
      <c r="E137" s="256"/>
      <c r="F137" s="238"/>
      <c r="G137" s="264">
        <f t="shared" si="17"/>
        <v>0</v>
      </c>
      <c r="H137" s="256"/>
      <c r="I137" s="238"/>
      <c r="J137" s="266">
        <f t="shared" si="18"/>
        <v>0</v>
      </c>
      <c r="K137" s="256"/>
      <c r="L137" s="238"/>
      <c r="M137" s="268">
        <f t="shared" si="19"/>
        <v>0</v>
      </c>
    </row>
    <row r="138" spans="1:13" ht="24.95" hidden="1" customHeight="1">
      <c r="A138" s="1478" t="s">
        <v>759</v>
      </c>
      <c r="B138" s="1479"/>
      <c r="C138" s="1479"/>
      <c r="D138" s="1479"/>
      <c r="E138" s="1479"/>
      <c r="F138" s="1479"/>
      <c r="G138" s="1479"/>
      <c r="H138" s="1479"/>
      <c r="I138" s="1479"/>
      <c r="J138" s="1479"/>
      <c r="K138" s="1479"/>
      <c r="L138" s="1479"/>
      <c r="M138" s="1480"/>
    </row>
    <row r="139" spans="1:13" s="7" customFormat="1" ht="20.100000000000001" hidden="1" customHeight="1">
      <c r="A139" s="252">
        <v>1</v>
      </c>
      <c r="B139" s="257"/>
      <c r="C139" s="257"/>
      <c r="D139" s="257"/>
      <c r="E139" s="253"/>
      <c r="F139" s="23"/>
      <c r="G139" s="263">
        <f t="shared" ref="G139:G148" si="20">E139+F139</f>
        <v>0</v>
      </c>
      <c r="H139" s="253"/>
      <c r="I139" s="23"/>
      <c r="J139" s="266">
        <f t="shared" ref="J139:J148" si="21">H139+I139</f>
        <v>0</v>
      </c>
      <c r="K139" s="253"/>
      <c r="L139" s="23"/>
      <c r="M139" s="268">
        <f t="shared" ref="M139:M148" si="22">K139+L139</f>
        <v>0</v>
      </c>
    </row>
    <row r="140" spans="1:13" s="7" customFormat="1" ht="20.100000000000001" hidden="1" customHeight="1">
      <c r="A140" s="254">
        <v>2</v>
      </c>
      <c r="B140" s="258"/>
      <c r="C140" s="258"/>
      <c r="D140" s="258"/>
      <c r="E140" s="256"/>
      <c r="F140" s="238"/>
      <c r="G140" s="264">
        <f t="shared" si="20"/>
        <v>0</v>
      </c>
      <c r="H140" s="256"/>
      <c r="I140" s="238"/>
      <c r="J140" s="266">
        <f t="shared" si="21"/>
        <v>0</v>
      </c>
      <c r="K140" s="256"/>
      <c r="L140" s="238"/>
      <c r="M140" s="268">
        <f t="shared" si="22"/>
        <v>0</v>
      </c>
    </row>
    <row r="141" spans="1:13" s="7" customFormat="1" ht="20.100000000000001" hidden="1" customHeight="1">
      <c r="A141" s="254">
        <v>3</v>
      </c>
      <c r="B141" s="258"/>
      <c r="C141" s="258"/>
      <c r="D141" s="258"/>
      <c r="E141" s="256"/>
      <c r="F141" s="238"/>
      <c r="G141" s="264">
        <f t="shared" si="20"/>
        <v>0</v>
      </c>
      <c r="H141" s="256"/>
      <c r="I141" s="238"/>
      <c r="J141" s="266">
        <f t="shared" si="21"/>
        <v>0</v>
      </c>
      <c r="K141" s="256"/>
      <c r="L141" s="238"/>
      <c r="M141" s="268">
        <f t="shared" si="22"/>
        <v>0</v>
      </c>
    </row>
    <row r="142" spans="1:13" s="7" customFormat="1" ht="20.100000000000001" hidden="1" customHeight="1">
      <c r="A142" s="254">
        <v>4</v>
      </c>
      <c r="B142" s="258"/>
      <c r="C142" s="258"/>
      <c r="D142" s="258"/>
      <c r="E142" s="256"/>
      <c r="F142" s="238"/>
      <c r="G142" s="264">
        <f t="shared" si="20"/>
        <v>0</v>
      </c>
      <c r="H142" s="256"/>
      <c r="I142" s="238"/>
      <c r="J142" s="266">
        <f t="shared" si="21"/>
        <v>0</v>
      </c>
      <c r="K142" s="256"/>
      <c r="L142" s="238"/>
      <c r="M142" s="268">
        <f t="shared" si="22"/>
        <v>0</v>
      </c>
    </row>
    <row r="143" spans="1:13" s="7" customFormat="1" ht="20.100000000000001" hidden="1" customHeight="1">
      <c r="A143" s="254">
        <v>5</v>
      </c>
      <c r="B143" s="258"/>
      <c r="C143" s="258"/>
      <c r="D143" s="258"/>
      <c r="E143" s="256"/>
      <c r="F143" s="238"/>
      <c r="G143" s="264">
        <f t="shared" si="20"/>
        <v>0</v>
      </c>
      <c r="H143" s="256"/>
      <c r="I143" s="238"/>
      <c r="J143" s="266">
        <f t="shared" si="21"/>
        <v>0</v>
      </c>
      <c r="K143" s="256"/>
      <c r="L143" s="238"/>
      <c r="M143" s="268">
        <f t="shared" si="22"/>
        <v>0</v>
      </c>
    </row>
    <row r="144" spans="1:13" s="7" customFormat="1" ht="20.100000000000001" hidden="1" customHeight="1">
      <c r="A144" s="254">
        <v>6</v>
      </c>
      <c r="B144" s="258"/>
      <c r="C144" s="258"/>
      <c r="D144" s="258"/>
      <c r="E144" s="256"/>
      <c r="F144" s="238"/>
      <c r="G144" s="264">
        <f t="shared" si="20"/>
        <v>0</v>
      </c>
      <c r="H144" s="256"/>
      <c r="I144" s="238"/>
      <c r="J144" s="266">
        <f t="shared" si="21"/>
        <v>0</v>
      </c>
      <c r="K144" s="256"/>
      <c r="L144" s="238"/>
      <c r="M144" s="268">
        <f t="shared" si="22"/>
        <v>0</v>
      </c>
    </row>
    <row r="145" spans="1:13" s="7" customFormat="1" ht="20.100000000000001" hidden="1" customHeight="1">
      <c r="A145" s="254">
        <v>7</v>
      </c>
      <c r="B145" s="258"/>
      <c r="C145" s="258"/>
      <c r="D145" s="258"/>
      <c r="E145" s="256"/>
      <c r="F145" s="238"/>
      <c r="G145" s="264">
        <f t="shared" si="20"/>
        <v>0</v>
      </c>
      <c r="H145" s="256"/>
      <c r="I145" s="238"/>
      <c r="J145" s="266">
        <f t="shared" si="21"/>
        <v>0</v>
      </c>
      <c r="K145" s="256"/>
      <c r="L145" s="238"/>
      <c r="M145" s="268">
        <f t="shared" si="22"/>
        <v>0</v>
      </c>
    </row>
    <row r="146" spans="1:13" s="7" customFormat="1" ht="20.100000000000001" hidden="1" customHeight="1">
      <c r="A146" s="254">
        <v>8</v>
      </c>
      <c r="B146" s="258"/>
      <c r="C146" s="258"/>
      <c r="D146" s="258"/>
      <c r="E146" s="256"/>
      <c r="F146" s="238"/>
      <c r="G146" s="264">
        <f t="shared" si="20"/>
        <v>0</v>
      </c>
      <c r="H146" s="256"/>
      <c r="I146" s="238"/>
      <c r="J146" s="266">
        <f t="shared" si="21"/>
        <v>0</v>
      </c>
      <c r="K146" s="256"/>
      <c r="L146" s="238"/>
      <c r="M146" s="268">
        <f t="shared" si="22"/>
        <v>0</v>
      </c>
    </row>
    <row r="147" spans="1:13" s="7" customFormat="1" ht="20.100000000000001" hidden="1" customHeight="1">
      <c r="A147" s="254">
        <v>9</v>
      </c>
      <c r="B147" s="258"/>
      <c r="C147" s="258"/>
      <c r="D147" s="258"/>
      <c r="E147" s="256"/>
      <c r="F147" s="238"/>
      <c r="G147" s="264">
        <f t="shared" si="20"/>
        <v>0</v>
      </c>
      <c r="H147" s="256"/>
      <c r="I147" s="238"/>
      <c r="J147" s="266">
        <f t="shared" si="21"/>
        <v>0</v>
      </c>
      <c r="K147" s="256"/>
      <c r="L147" s="238"/>
      <c r="M147" s="268">
        <f t="shared" si="22"/>
        <v>0</v>
      </c>
    </row>
    <row r="148" spans="1:13" s="7" customFormat="1" ht="20.100000000000001" hidden="1" customHeight="1">
      <c r="A148" s="254">
        <v>10</v>
      </c>
      <c r="B148" s="258"/>
      <c r="C148" s="258"/>
      <c r="D148" s="258"/>
      <c r="E148" s="256"/>
      <c r="F148" s="238"/>
      <c r="G148" s="264">
        <f t="shared" si="20"/>
        <v>0</v>
      </c>
      <c r="H148" s="256"/>
      <c r="I148" s="238"/>
      <c r="J148" s="266">
        <f t="shared" si="21"/>
        <v>0</v>
      </c>
      <c r="K148" s="256"/>
      <c r="L148" s="238"/>
      <c r="M148" s="268">
        <f t="shared" si="22"/>
        <v>0</v>
      </c>
    </row>
    <row r="149" spans="1:13" ht="20.100000000000001" hidden="1" customHeight="1">
      <c r="A149" s="1478" t="s">
        <v>760</v>
      </c>
      <c r="B149" s="1479"/>
      <c r="C149" s="1479"/>
      <c r="D149" s="1479"/>
      <c r="E149" s="1479"/>
      <c r="F149" s="1479"/>
      <c r="G149" s="1479"/>
      <c r="H149" s="1479"/>
      <c r="I149" s="1479"/>
      <c r="J149" s="1479"/>
      <c r="K149" s="1479"/>
      <c r="L149" s="1479"/>
      <c r="M149" s="1480"/>
    </row>
    <row r="150" spans="1:13" s="7" customFormat="1" ht="20.100000000000001" hidden="1" customHeight="1">
      <c r="A150" s="252">
        <v>1</v>
      </c>
      <c r="B150" s="257"/>
      <c r="C150" s="257"/>
      <c r="D150" s="257"/>
      <c r="E150" s="253"/>
      <c r="F150" s="23"/>
      <c r="G150" s="263">
        <f t="shared" ref="G150:G155" si="23">E150+F150</f>
        <v>0</v>
      </c>
      <c r="H150" s="253"/>
      <c r="I150" s="23"/>
      <c r="J150" s="266">
        <f t="shared" ref="J150:J155" si="24">H150+I150</f>
        <v>0</v>
      </c>
      <c r="K150" s="253"/>
      <c r="L150" s="23"/>
      <c r="M150" s="268">
        <f t="shared" ref="M150:M155" si="25">K150+L150</f>
        <v>0</v>
      </c>
    </row>
    <row r="151" spans="1:13" s="7" customFormat="1" ht="20.100000000000001" hidden="1" customHeight="1">
      <c r="A151" s="254">
        <v>2</v>
      </c>
      <c r="B151" s="258"/>
      <c r="C151" s="258"/>
      <c r="D151" s="258"/>
      <c r="E151" s="256"/>
      <c r="F151" s="238"/>
      <c r="G151" s="264">
        <f t="shared" si="23"/>
        <v>0</v>
      </c>
      <c r="H151" s="256"/>
      <c r="I151" s="238"/>
      <c r="J151" s="266">
        <f t="shared" si="24"/>
        <v>0</v>
      </c>
      <c r="K151" s="256"/>
      <c r="L151" s="238"/>
      <c r="M151" s="268">
        <f t="shared" si="25"/>
        <v>0</v>
      </c>
    </row>
    <row r="152" spans="1:13" s="7" customFormat="1" ht="20.100000000000001" hidden="1" customHeight="1">
      <c r="A152" s="254">
        <v>3</v>
      </c>
      <c r="B152" s="258"/>
      <c r="C152" s="258"/>
      <c r="D152" s="258"/>
      <c r="E152" s="256"/>
      <c r="F152" s="238"/>
      <c r="G152" s="264">
        <f t="shared" si="23"/>
        <v>0</v>
      </c>
      <c r="H152" s="256"/>
      <c r="I152" s="238"/>
      <c r="J152" s="266">
        <f t="shared" si="24"/>
        <v>0</v>
      </c>
      <c r="K152" s="256"/>
      <c r="L152" s="238"/>
      <c r="M152" s="268">
        <f t="shared" si="25"/>
        <v>0</v>
      </c>
    </row>
    <row r="153" spans="1:13" s="7" customFormat="1" ht="20.100000000000001" hidden="1" customHeight="1">
      <c r="A153" s="254">
        <v>4</v>
      </c>
      <c r="B153" s="258"/>
      <c r="C153" s="258"/>
      <c r="D153" s="258"/>
      <c r="E153" s="256"/>
      <c r="F153" s="238"/>
      <c r="G153" s="264">
        <f t="shared" si="23"/>
        <v>0</v>
      </c>
      <c r="H153" s="256"/>
      <c r="I153" s="238"/>
      <c r="J153" s="266">
        <f t="shared" si="24"/>
        <v>0</v>
      </c>
      <c r="K153" s="256"/>
      <c r="L153" s="238"/>
      <c r="M153" s="268">
        <f t="shared" si="25"/>
        <v>0</v>
      </c>
    </row>
    <row r="154" spans="1:13" s="7" customFormat="1" ht="20.100000000000001" hidden="1" customHeight="1">
      <c r="A154" s="254">
        <v>5</v>
      </c>
      <c r="B154" s="258"/>
      <c r="C154" s="258"/>
      <c r="D154" s="258"/>
      <c r="E154" s="256"/>
      <c r="F154" s="238"/>
      <c r="G154" s="264">
        <f t="shared" si="23"/>
        <v>0</v>
      </c>
      <c r="H154" s="256"/>
      <c r="I154" s="238"/>
      <c r="J154" s="266">
        <f t="shared" si="24"/>
        <v>0</v>
      </c>
      <c r="K154" s="256"/>
      <c r="L154" s="238"/>
      <c r="M154" s="268">
        <f t="shared" si="25"/>
        <v>0</v>
      </c>
    </row>
    <row r="155" spans="1:13" s="7" customFormat="1" ht="20.100000000000001" hidden="1" customHeight="1">
      <c r="A155" s="254">
        <v>6</v>
      </c>
      <c r="B155" s="258"/>
      <c r="C155" s="258"/>
      <c r="D155" s="258"/>
      <c r="E155" s="256"/>
      <c r="F155" s="238"/>
      <c r="G155" s="264">
        <f t="shared" si="23"/>
        <v>0</v>
      </c>
      <c r="H155" s="256"/>
      <c r="I155" s="238"/>
      <c r="J155" s="266">
        <f t="shared" si="24"/>
        <v>0</v>
      </c>
      <c r="K155" s="256"/>
      <c r="L155" s="238"/>
      <c r="M155" s="268">
        <f t="shared" si="25"/>
        <v>0</v>
      </c>
    </row>
    <row r="156" spans="1:13" ht="20.100000000000001" hidden="1" customHeight="1">
      <c r="A156" s="1478" t="s">
        <v>761</v>
      </c>
      <c r="B156" s="1479"/>
      <c r="C156" s="1479"/>
      <c r="D156" s="1479"/>
      <c r="E156" s="1479"/>
      <c r="F156" s="1479"/>
      <c r="G156" s="1479"/>
      <c r="H156" s="1479"/>
      <c r="I156" s="1479"/>
      <c r="J156" s="1479"/>
      <c r="K156" s="1479"/>
      <c r="L156" s="1479"/>
      <c r="M156" s="1480"/>
    </row>
    <row r="157" spans="1:13" s="7" customFormat="1" ht="20.100000000000001" hidden="1" customHeight="1">
      <c r="A157" s="252">
        <v>1</v>
      </c>
      <c r="B157" s="257"/>
      <c r="C157" s="257"/>
      <c r="D157" s="257"/>
      <c r="E157" s="253"/>
      <c r="F157" s="23"/>
      <c r="G157" s="263">
        <f t="shared" ref="G157:G162" si="26">E157+F157</f>
        <v>0</v>
      </c>
      <c r="H157" s="253"/>
      <c r="I157" s="23"/>
      <c r="J157" s="265">
        <f t="shared" ref="J157:J162" si="27">H157+I157</f>
        <v>0</v>
      </c>
      <c r="K157" s="253"/>
      <c r="L157" s="23"/>
      <c r="M157" s="267">
        <f t="shared" ref="M157:M162" si="28">K157+L157</f>
        <v>0</v>
      </c>
    </row>
    <row r="158" spans="1:13" s="7" customFormat="1" ht="20.100000000000001" hidden="1" customHeight="1">
      <c r="A158" s="254">
        <v>2</v>
      </c>
      <c r="B158" s="258"/>
      <c r="C158" s="258"/>
      <c r="D158" s="258"/>
      <c r="E158" s="256"/>
      <c r="F158" s="238"/>
      <c r="G158" s="264">
        <f t="shared" si="26"/>
        <v>0</v>
      </c>
      <c r="H158" s="256"/>
      <c r="I158" s="238"/>
      <c r="J158" s="266">
        <f t="shared" si="27"/>
        <v>0</v>
      </c>
      <c r="K158" s="256"/>
      <c r="L158" s="238"/>
      <c r="M158" s="268">
        <f t="shared" si="28"/>
        <v>0</v>
      </c>
    </row>
    <row r="159" spans="1:13" s="7" customFormat="1" ht="20.100000000000001" hidden="1" customHeight="1">
      <c r="A159" s="254">
        <v>3</v>
      </c>
      <c r="B159" s="258"/>
      <c r="C159" s="258"/>
      <c r="D159" s="258"/>
      <c r="E159" s="256"/>
      <c r="F159" s="238"/>
      <c r="G159" s="264">
        <f t="shared" si="26"/>
        <v>0</v>
      </c>
      <c r="H159" s="256"/>
      <c r="I159" s="238"/>
      <c r="J159" s="266">
        <f t="shared" si="27"/>
        <v>0</v>
      </c>
      <c r="K159" s="256"/>
      <c r="L159" s="238"/>
      <c r="M159" s="268">
        <f t="shared" si="28"/>
        <v>0</v>
      </c>
    </row>
    <row r="160" spans="1:13" s="7" customFormat="1" ht="20.100000000000001" hidden="1" customHeight="1">
      <c r="A160" s="254">
        <v>4</v>
      </c>
      <c r="B160" s="258"/>
      <c r="C160" s="258"/>
      <c r="D160" s="258"/>
      <c r="E160" s="256"/>
      <c r="F160" s="238"/>
      <c r="G160" s="264">
        <f t="shared" si="26"/>
        <v>0</v>
      </c>
      <c r="H160" s="256"/>
      <c r="I160" s="238"/>
      <c r="J160" s="266">
        <f t="shared" si="27"/>
        <v>0</v>
      </c>
      <c r="K160" s="256"/>
      <c r="L160" s="238"/>
      <c r="M160" s="268">
        <f t="shared" si="28"/>
        <v>0</v>
      </c>
    </row>
    <row r="161" spans="1:13" s="7" customFormat="1" ht="20.100000000000001" hidden="1" customHeight="1">
      <c r="A161" s="254">
        <v>5</v>
      </c>
      <c r="B161" s="258"/>
      <c r="C161" s="258"/>
      <c r="D161" s="258"/>
      <c r="E161" s="256"/>
      <c r="F161" s="238"/>
      <c r="G161" s="264">
        <f t="shared" si="26"/>
        <v>0</v>
      </c>
      <c r="H161" s="256"/>
      <c r="I161" s="238"/>
      <c r="J161" s="266">
        <f t="shared" si="27"/>
        <v>0</v>
      </c>
      <c r="K161" s="256"/>
      <c r="L161" s="238"/>
      <c r="M161" s="268">
        <f t="shared" si="28"/>
        <v>0</v>
      </c>
    </row>
    <row r="162" spans="1:13" s="7" customFormat="1" ht="20.100000000000001" hidden="1" customHeight="1">
      <c r="A162" s="254">
        <v>6</v>
      </c>
      <c r="B162" s="258"/>
      <c r="C162" s="258"/>
      <c r="D162" s="258"/>
      <c r="E162" s="256"/>
      <c r="F162" s="238"/>
      <c r="G162" s="264">
        <f t="shared" si="26"/>
        <v>0</v>
      </c>
      <c r="H162" s="256"/>
      <c r="I162" s="238"/>
      <c r="J162" s="266">
        <f t="shared" si="27"/>
        <v>0</v>
      </c>
      <c r="K162" s="256"/>
      <c r="L162" s="238"/>
      <c r="M162" s="268">
        <f t="shared" si="28"/>
        <v>0</v>
      </c>
    </row>
    <row r="167" spans="1:13" ht="15">
      <c r="K167" s="1477" t="s">
        <v>776</v>
      </c>
      <c r="L167" s="1477"/>
      <c r="M167" s="1477"/>
    </row>
  </sheetData>
  <mergeCells count="42">
    <mergeCell ref="D123:D125"/>
    <mergeCell ref="E123:E125"/>
    <mergeCell ref="F123:F125"/>
    <mergeCell ref="G123:G125"/>
    <mergeCell ref="M115:M121"/>
    <mergeCell ref="H123:H125"/>
    <mergeCell ref="I123:I125"/>
    <mergeCell ref="J123:J125"/>
    <mergeCell ref="K123:K125"/>
    <mergeCell ref="L123:L125"/>
    <mergeCell ref="M123:M125"/>
    <mergeCell ref="H115:H121"/>
    <mergeCell ref="I115:I121"/>
    <mergeCell ref="J115:J121"/>
    <mergeCell ref="K115:K121"/>
    <mergeCell ref="L115:L121"/>
    <mergeCell ref="B115:B121"/>
    <mergeCell ref="E115:E121"/>
    <mergeCell ref="F115:F121"/>
    <mergeCell ref="G115:G121"/>
    <mergeCell ref="D115:D121"/>
    <mergeCell ref="A6:B8"/>
    <mergeCell ref="C6:C8"/>
    <mergeCell ref="D6:D8"/>
    <mergeCell ref="E6:M6"/>
    <mergeCell ref="E7:G7"/>
    <mergeCell ref="B123:B125"/>
    <mergeCell ref="K167:M167"/>
    <mergeCell ref="L1:M1"/>
    <mergeCell ref="A133:M133"/>
    <mergeCell ref="A2:M2"/>
    <mergeCell ref="B3:G3"/>
    <mergeCell ref="K5:M5"/>
    <mergeCell ref="A138:M138"/>
    <mergeCell ref="A149:M149"/>
    <mergeCell ref="A156:M156"/>
    <mergeCell ref="H7:J7"/>
    <mergeCell ref="K7:M7"/>
    <mergeCell ref="A9:M9"/>
    <mergeCell ref="A114:M114"/>
    <mergeCell ref="A122:M122"/>
    <mergeCell ref="A126:M126"/>
  </mergeCells>
  <dataValidations count="2">
    <dataValidation type="list" allowBlank="1" showInputMessage="1" showErrorMessage="1" sqref="C127:C132 C134:C137 C11:C113 C123:C125 C115:C121">
      <formula1>$W$13:$W$113</formula1>
    </dataValidation>
    <dataValidation type="list" allowBlank="1" showInputMessage="1" showErrorMessage="1" sqref="D127:D132 D134:D137 D11:D113 D123 D115">
      <formula1>$V$13:$V$14</formula1>
    </dataValidation>
  </dataValidations>
  <printOptions horizontalCentered="1"/>
  <pageMargins left="0.5" right="0.25" top="0.17499999999999999" bottom="0.25" header="0.25" footer="0.25"/>
  <pageSetup paperSize="9" fitToWidth="0" fitToHeight="0" orientation="landscape" r:id="rId1"/>
  <headerFooter alignWithMargins="0"/>
  <rowBreaks count="1" manualBreakCount="1">
    <brk id="60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AI136"/>
  <sheetViews>
    <sheetView view="pageBreakPreview" zoomScaleSheetLayoutView="100" workbookViewId="0">
      <pane xSplit="2" ySplit="9" topLeftCell="C111" activePane="bottomRight" state="frozen"/>
      <selection pane="topRight" activeCell="C1" sqref="C1"/>
      <selection pane="bottomLeft" activeCell="A10" sqref="A10"/>
      <selection pane="bottomRight" activeCell="M120" sqref="M120"/>
    </sheetView>
  </sheetViews>
  <sheetFormatPr defaultRowHeight="15.75"/>
  <cols>
    <col min="1" max="1" width="3.7109375" style="233" customWidth="1"/>
    <col min="2" max="2" width="22.7109375" style="190" customWidth="1"/>
    <col min="3" max="6" width="7.5703125" style="1" bestFit="1" customWidth="1"/>
    <col min="7" max="7" width="7.5703125" style="1" customWidth="1"/>
    <col min="8" max="8" width="7.5703125" style="1" bestFit="1" customWidth="1"/>
    <col min="9" max="9" width="9.5703125" style="1" bestFit="1" customWidth="1"/>
    <col min="10" max="10" width="7.5703125" style="1" bestFit="1" customWidth="1"/>
    <col min="11" max="11" width="6.7109375" style="1" customWidth="1"/>
    <col min="12" max="12" width="7.5703125" style="1" bestFit="1" customWidth="1"/>
    <col min="13" max="13" width="8.7109375" style="1" bestFit="1" customWidth="1"/>
    <col min="14" max="14" width="1.28515625" style="1" customWidth="1"/>
    <col min="15" max="15" width="6.7109375" style="9" customWidth="1"/>
    <col min="16" max="16" width="7.5703125" style="9" bestFit="1" customWidth="1"/>
    <col min="17" max="18" width="6.7109375" style="9" customWidth="1"/>
    <col min="19" max="19" width="7.42578125" style="9" customWidth="1"/>
    <col min="20" max="20" width="6.7109375" style="9" customWidth="1"/>
    <col min="21" max="21" width="8.85546875" style="9" customWidth="1"/>
    <col min="22" max="24" width="6.7109375" style="9" customWidth="1"/>
    <col min="25" max="25" width="8.140625" style="9" customWidth="1"/>
    <col min="26" max="26" width="13.140625" style="599" bestFit="1" customWidth="1"/>
    <col min="27" max="27" width="9.140625" style="9"/>
    <col min="28" max="29" width="11.28515625" style="883" bestFit="1" customWidth="1"/>
    <col min="30" max="239" width="9.140625" style="9"/>
    <col min="240" max="240" width="38.5703125" style="9" customWidth="1"/>
    <col min="241" max="241" width="6.5703125" style="9" customWidth="1"/>
    <col min="242" max="242" width="7.7109375" style="9" bestFit="1" customWidth="1"/>
    <col min="243" max="243" width="7.28515625" style="9" customWidth="1"/>
    <col min="244" max="244" width="6.5703125" style="9" bestFit="1" customWidth="1"/>
    <col min="245" max="245" width="7.28515625" style="9" bestFit="1" customWidth="1"/>
    <col min="246" max="246" width="8.140625" style="9" customWidth="1"/>
    <col min="247" max="247" width="7.140625" style="9" customWidth="1"/>
    <col min="248" max="248" width="7.7109375" style="9" bestFit="1" customWidth="1"/>
    <col min="249" max="249" width="7.28515625" style="9" customWidth="1"/>
    <col min="250" max="250" width="7" style="9" customWidth="1"/>
    <col min="251" max="251" width="7.5703125" style="9" customWidth="1"/>
    <col min="252" max="252" width="7.140625" style="9" customWidth="1"/>
    <col min="253" max="253" width="7" style="9" customWidth="1"/>
    <col min="254" max="254" width="7.5703125" style="9" customWidth="1"/>
    <col min="255" max="255" width="7.140625" style="9" customWidth="1"/>
    <col min="256" max="272" width="8.7109375" style="9" customWidth="1"/>
    <col min="273" max="273" width="36.85546875" style="9" customWidth="1"/>
    <col min="274" max="280" width="14.28515625" style="9" customWidth="1"/>
    <col min="281" max="495" width="9.140625" style="9"/>
    <col min="496" max="496" width="38.5703125" style="9" customWidth="1"/>
    <col min="497" max="497" width="6.5703125" style="9" customWidth="1"/>
    <col min="498" max="498" width="7.7109375" style="9" bestFit="1" customWidth="1"/>
    <col min="499" max="499" width="7.28515625" style="9" customWidth="1"/>
    <col min="500" max="500" width="6.5703125" style="9" bestFit="1" customWidth="1"/>
    <col min="501" max="501" width="7.28515625" style="9" bestFit="1" customWidth="1"/>
    <col min="502" max="502" width="8.140625" style="9" customWidth="1"/>
    <col min="503" max="503" width="7.140625" style="9" customWidth="1"/>
    <col min="504" max="504" width="7.7109375" style="9" bestFit="1" customWidth="1"/>
    <col min="505" max="505" width="7.28515625" style="9" customWidth="1"/>
    <col min="506" max="506" width="7" style="9" customWidth="1"/>
    <col min="507" max="507" width="7.5703125" style="9" customWidth="1"/>
    <col min="508" max="508" width="7.140625" style="9" customWidth="1"/>
    <col min="509" max="509" width="7" style="9" customWidth="1"/>
    <col min="510" max="510" width="7.5703125" style="9" customWidth="1"/>
    <col min="511" max="511" width="7.140625" style="9" customWidth="1"/>
    <col min="512" max="528" width="8.7109375" style="9" customWidth="1"/>
    <col min="529" max="529" width="36.85546875" style="9" customWidth="1"/>
    <col min="530" max="536" width="14.28515625" style="9" customWidth="1"/>
    <col min="537" max="751" width="9.140625" style="9"/>
    <col min="752" max="752" width="38.5703125" style="9" customWidth="1"/>
    <col min="753" max="753" width="6.5703125" style="9" customWidth="1"/>
    <col min="754" max="754" width="7.7109375" style="9" bestFit="1" customWidth="1"/>
    <col min="755" max="755" width="7.28515625" style="9" customWidth="1"/>
    <col min="756" max="756" width="6.5703125" style="9" bestFit="1" customWidth="1"/>
    <col min="757" max="757" width="7.28515625" style="9" bestFit="1" customWidth="1"/>
    <col min="758" max="758" width="8.140625" style="9" customWidth="1"/>
    <col min="759" max="759" width="7.140625" style="9" customWidth="1"/>
    <col min="760" max="760" width="7.7109375" style="9" bestFit="1" customWidth="1"/>
    <col min="761" max="761" width="7.28515625" style="9" customWidth="1"/>
    <col min="762" max="762" width="7" style="9" customWidth="1"/>
    <col min="763" max="763" width="7.5703125" style="9" customWidth="1"/>
    <col min="764" max="764" width="7.140625" style="9" customWidth="1"/>
    <col min="765" max="765" width="7" style="9" customWidth="1"/>
    <col min="766" max="766" width="7.5703125" style="9" customWidth="1"/>
    <col min="767" max="767" width="7.140625" style="9" customWidth="1"/>
    <col min="768" max="784" width="8.7109375" style="9" customWidth="1"/>
    <col min="785" max="785" width="36.85546875" style="9" customWidth="1"/>
    <col min="786" max="792" width="14.28515625" style="9" customWidth="1"/>
    <col min="793" max="1007" width="9.140625" style="9"/>
    <col min="1008" max="1008" width="38.5703125" style="9" customWidth="1"/>
    <col min="1009" max="1009" width="6.5703125" style="9" customWidth="1"/>
    <col min="1010" max="1010" width="7.7109375" style="9" bestFit="1" customWidth="1"/>
    <col min="1011" max="1011" width="7.28515625" style="9" customWidth="1"/>
    <col min="1012" max="1012" width="6.5703125" style="9" bestFit="1" customWidth="1"/>
    <col min="1013" max="1013" width="7.28515625" style="9" bestFit="1" customWidth="1"/>
    <col min="1014" max="1014" width="8.140625" style="9" customWidth="1"/>
    <col min="1015" max="1015" width="7.140625" style="9" customWidth="1"/>
    <col min="1016" max="1016" width="7.7109375" style="9" bestFit="1" customWidth="1"/>
    <col min="1017" max="1017" width="7.28515625" style="9" customWidth="1"/>
    <col min="1018" max="1018" width="7" style="9" customWidth="1"/>
    <col min="1019" max="1019" width="7.5703125" style="9" customWidth="1"/>
    <col min="1020" max="1020" width="7.140625" style="9" customWidth="1"/>
    <col min="1021" max="1021" width="7" style="9" customWidth="1"/>
    <col min="1022" max="1022" width="7.5703125" style="9" customWidth="1"/>
    <col min="1023" max="1023" width="7.140625" style="9" customWidth="1"/>
    <col min="1024" max="1040" width="8.7109375" style="9" customWidth="1"/>
    <col min="1041" max="1041" width="36.85546875" style="9" customWidth="1"/>
    <col min="1042" max="1048" width="14.28515625" style="9" customWidth="1"/>
    <col min="1049" max="1263" width="9.140625" style="9"/>
    <col min="1264" max="1264" width="38.5703125" style="9" customWidth="1"/>
    <col min="1265" max="1265" width="6.5703125" style="9" customWidth="1"/>
    <col min="1266" max="1266" width="7.7109375" style="9" bestFit="1" customWidth="1"/>
    <col min="1267" max="1267" width="7.28515625" style="9" customWidth="1"/>
    <col min="1268" max="1268" width="6.5703125" style="9" bestFit="1" customWidth="1"/>
    <col min="1269" max="1269" width="7.28515625" style="9" bestFit="1" customWidth="1"/>
    <col min="1270" max="1270" width="8.140625" style="9" customWidth="1"/>
    <col min="1271" max="1271" width="7.140625" style="9" customWidth="1"/>
    <col min="1272" max="1272" width="7.7109375" style="9" bestFit="1" customWidth="1"/>
    <col min="1273" max="1273" width="7.28515625" style="9" customWidth="1"/>
    <col min="1274" max="1274" width="7" style="9" customWidth="1"/>
    <col min="1275" max="1275" width="7.5703125" style="9" customWidth="1"/>
    <col min="1276" max="1276" width="7.140625" style="9" customWidth="1"/>
    <col min="1277" max="1277" width="7" style="9" customWidth="1"/>
    <col min="1278" max="1278" width="7.5703125" style="9" customWidth="1"/>
    <col min="1279" max="1279" width="7.140625" style="9" customWidth="1"/>
    <col min="1280" max="1296" width="8.7109375" style="9" customWidth="1"/>
    <col min="1297" max="1297" width="36.85546875" style="9" customWidth="1"/>
    <col min="1298" max="1304" width="14.28515625" style="9" customWidth="1"/>
    <col min="1305" max="1519" width="9.140625" style="9"/>
    <col min="1520" max="1520" width="38.5703125" style="9" customWidth="1"/>
    <col min="1521" max="1521" width="6.5703125" style="9" customWidth="1"/>
    <col min="1522" max="1522" width="7.7109375" style="9" bestFit="1" customWidth="1"/>
    <col min="1523" max="1523" width="7.28515625" style="9" customWidth="1"/>
    <col min="1524" max="1524" width="6.5703125" style="9" bestFit="1" customWidth="1"/>
    <col min="1525" max="1525" width="7.28515625" style="9" bestFit="1" customWidth="1"/>
    <col min="1526" max="1526" width="8.140625" style="9" customWidth="1"/>
    <col min="1527" max="1527" width="7.140625" style="9" customWidth="1"/>
    <col min="1528" max="1528" width="7.7109375" style="9" bestFit="1" customWidth="1"/>
    <col min="1529" max="1529" width="7.28515625" style="9" customWidth="1"/>
    <col min="1530" max="1530" width="7" style="9" customWidth="1"/>
    <col min="1531" max="1531" width="7.5703125" style="9" customWidth="1"/>
    <col min="1532" max="1532" width="7.140625" style="9" customWidth="1"/>
    <col min="1533" max="1533" width="7" style="9" customWidth="1"/>
    <col min="1534" max="1534" width="7.5703125" style="9" customWidth="1"/>
    <col min="1535" max="1535" width="7.140625" style="9" customWidth="1"/>
    <col min="1536" max="1552" width="8.7109375" style="9" customWidth="1"/>
    <col min="1553" max="1553" width="36.85546875" style="9" customWidth="1"/>
    <col min="1554" max="1560" width="14.28515625" style="9" customWidth="1"/>
    <col min="1561" max="1775" width="9.140625" style="9"/>
    <col min="1776" max="1776" width="38.5703125" style="9" customWidth="1"/>
    <col min="1777" max="1777" width="6.5703125" style="9" customWidth="1"/>
    <col min="1778" max="1778" width="7.7109375" style="9" bestFit="1" customWidth="1"/>
    <col min="1779" max="1779" width="7.28515625" style="9" customWidth="1"/>
    <col min="1780" max="1780" width="6.5703125" style="9" bestFit="1" customWidth="1"/>
    <col min="1781" max="1781" width="7.28515625" style="9" bestFit="1" customWidth="1"/>
    <col min="1782" max="1782" width="8.140625" style="9" customWidth="1"/>
    <col min="1783" max="1783" width="7.140625" style="9" customWidth="1"/>
    <col min="1784" max="1784" width="7.7109375" style="9" bestFit="1" customWidth="1"/>
    <col min="1785" max="1785" width="7.28515625" style="9" customWidth="1"/>
    <col min="1786" max="1786" width="7" style="9" customWidth="1"/>
    <col min="1787" max="1787" width="7.5703125" style="9" customWidth="1"/>
    <col min="1788" max="1788" width="7.140625" style="9" customWidth="1"/>
    <col min="1789" max="1789" width="7" style="9" customWidth="1"/>
    <col min="1790" max="1790" width="7.5703125" style="9" customWidth="1"/>
    <col min="1791" max="1791" width="7.140625" style="9" customWidth="1"/>
    <col min="1792" max="1808" width="8.7109375" style="9" customWidth="1"/>
    <col min="1809" max="1809" width="36.85546875" style="9" customWidth="1"/>
    <col min="1810" max="1816" width="14.28515625" style="9" customWidth="1"/>
    <col min="1817" max="2031" width="9.140625" style="9"/>
    <col min="2032" max="2032" width="38.5703125" style="9" customWidth="1"/>
    <col min="2033" max="2033" width="6.5703125" style="9" customWidth="1"/>
    <col min="2034" max="2034" width="7.7109375" style="9" bestFit="1" customWidth="1"/>
    <col min="2035" max="2035" width="7.28515625" style="9" customWidth="1"/>
    <col min="2036" max="2036" width="6.5703125" style="9" bestFit="1" customWidth="1"/>
    <col min="2037" max="2037" width="7.28515625" style="9" bestFit="1" customWidth="1"/>
    <col min="2038" max="2038" width="8.140625" style="9" customWidth="1"/>
    <col min="2039" max="2039" width="7.140625" style="9" customWidth="1"/>
    <col min="2040" max="2040" width="7.7109375" style="9" bestFit="1" customWidth="1"/>
    <col min="2041" max="2041" width="7.28515625" style="9" customWidth="1"/>
    <col min="2042" max="2042" width="7" style="9" customWidth="1"/>
    <col min="2043" max="2043" width="7.5703125" style="9" customWidth="1"/>
    <col min="2044" max="2044" width="7.140625" style="9" customWidth="1"/>
    <col min="2045" max="2045" width="7" style="9" customWidth="1"/>
    <col min="2046" max="2046" width="7.5703125" style="9" customWidth="1"/>
    <col min="2047" max="2047" width="7.140625" style="9" customWidth="1"/>
    <col min="2048" max="2064" width="8.7109375" style="9" customWidth="1"/>
    <col min="2065" max="2065" width="36.85546875" style="9" customWidth="1"/>
    <col min="2066" max="2072" width="14.28515625" style="9" customWidth="1"/>
    <col min="2073" max="2287" width="9.140625" style="9"/>
    <col min="2288" max="2288" width="38.5703125" style="9" customWidth="1"/>
    <col min="2289" max="2289" width="6.5703125" style="9" customWidth="1"/>
    <col min="2290" max="2290" width="7.7109375" style="9" bestFit="1" customWidth="1"/>
    <col min="2291" max="2291" width="7.28515625" style="9" customWidth="1"/>
    <col min="2292" max="2292" width="6.5703125" style="9" bestFit="1" customWidth="1"/>
    <col min="2293" max="2293" width="7.28515625" style="9" bestFit="1" customWidth="1"/>
    <col min="2294" max="2294" width="8.140625" style="9" customWidth="1"/>
    <col min="2295" max="2295" width="7.140625" style="9" customWidth="1"/>
    <col min="2296" max="2296" width="7.7109375" style="9" bestFit="1" customWidth="1"/>
    <col min="2297" max="2297" width="7.28515625" style="9" customWidth="1"/>
    <col min="2298" max="2298" width="7" style="9" customWidth="1"/>
    <col min="2299" max="2299" width="7.5703125" style="9" customWidth="1"/>
    <col min="2300" max="2300" width="7.140625" style="9" customWidth="1"/>
    <col min="2301" max="2301" width="7" style="9" customWidth="1"/>
    <col min="2302" max="2302" width="7.5703125" style="9" customWidth="1"/>
    <col min="2303" max="2303" width="7.140625" style="9" customWidth="1"/>
    <col min="2304" max="2320" width="8.7109375" style="9" customWidth="1"/>
    <col min="2321" max="2321" width="36.85546875" style="9" customWidth="1"/>
    <col min="2322" max="2328" width="14.28515625" style="9" customWidth="1"/>
    <col min="2329" max="2543" width="9.140625" style="9"/>
    <col min="2544" max="2544" width="38.5703125" style="9" customWidth="1"/>
    <col min="2545" max="2545" width="6.5703125" style="9" customWidth="1"/>
    <col min="2546" max="2546" width="7.7109375" style="9" bestFit="1" customWidth="1"/>
    <col min="2547" max="2547" width="7.28515625" style="9" customWidth="1"/>
    <col min="2548" max="2548" width="6.5703125" style="9" bestFit="1" customWidth="1"/>
    <col min="2549" max="2549" width="7.28515625" style="9" bestFit="1" customWidth="1"/>
    <col min="2550" max="2550" width="8.140625" style="9" customWidth="1"/>
    <col min="2551" max="2551" width="7.140625" style="9" customWidth="1"/>
    <col min="2552" max="2552" width="7.7109375" style="9" bestFit="1" customWidth="1"/>
    <col min="2553" max="2553" width="7.28515625" style="9" customWidth="1"/>
    <col min="2554" max="2554" width="7" style="9" customWidth="1"/>
    <col min="2555" max="2555" width="7.5703125" style="9" customWidth="1"/>
    <col min="2556" max="2556" width="7.140625" style="9" customWidth="1"/>
    <col min="2557" max="2557" width="7" style="9" customWidth="1"/>
    <col min="2558" max="2558" width="7.5703125" style="9" customWidth="1"/>
    <col min="2559" max="2559" width="7.140625" style="9" customWidth="1"/>
    <col min="2560" max="2576" width="8.7109375" style="9" customWidth="1"/>
    <col min="2577" max="2577" width="36.85546875" style="9" customWidth="1"/>
    <col min="2578" max="2584" width="14.28515625" style="9" customWidth="1"/>
    <col min="2585" max="2799" width="9.140625" style="9"/>
    <col min="2800" max="2800" width="38.5703125" style="9" customWidth="1"/>
    <col min="2801" max="2801" width="6.5703125" style="9" customWidth="1"/>
    <col min="2802" max="2802" width="7.7109375" style="9" bestFit="1" customWidth="1"/>
    <col min="2803" max="2803" width="7.28515625" style="9" customWidth="1"/>
    <col min="2804" max="2804" width="6.5703125" style="9" bestFit="1" customWidth="1"/>
    <col min="2805" max="2805" width="7.28515625" style="9" bestFit="1" customWidth="1"/>
    <col min="2806" max="2806" width="8.140625" style="9" customWidth="1"/>
    <col min="2807" max="2807" width="7.140625" style="9" customWidth="1"/>
    <col min="2808" max="2808" width="7.7109375" style="9" bestFit="1" customWidth="1"/>
    <col min="2809" max="2809" width="7.28515625" style="9" customWidth="1"/>
    <col min="2810" max="2810" width="7" style="9" customWidth="1"/>
    <col min="2811" max="2811" width="7.5703125" style="9" customWidth="1"/>
    <col min="2812" max="2812" width="7.140625" style="9" customWidth="1"/>
    <col min="2813" max="2813" width="7" style="9" customWidth="1"/>
    <col min="2814" max="2814" width="7.5703125" style="9" customWidth="1"/>
    <col min="2815" max="2815" width="7.140625" style="9" customWidth="1"/>
    <col min="2816" max="2832" width="8.7109375" style="9" customWidth="1"/>
    <col min="2833" max="2833" width="36.85546875" style="9" customWidth="1"/>
    <col min="2834" max="2840" width="14.28515625" style="9" customWidth="1"/>
    <col min="2841" max="3055" width="9.140625" style="9"/>
    <col min="3056" max="3056" width="38.5703125" style="9" customWidth="1"/>
    <col min="3057" max="3057" width="6.5703125" style="9" customWidth="1"/>
    <col min="3058" max="3058" width="7.7109375" style="9" bestFit="1" customWidth="1"/>
    <col min="3059" max="3059" width="7.28515625" style="9" customWidth="1"/>
    <col min="3060" max="3060" width="6.5703125" style="9" bestFit="1" customWidth="1"/>
    <col min="3061" max="3061" width="7.28515625" style="9" bestFit="1" customWidth="1"/>
    <col min="3062" max="3062" width="8.140625" style="9" customWidth="1"/>
    <col min="3063" max="3063" width="7.140625" style="9" customWidth="1"/>
    <col min="3064" max="3064" width="7.7109375" style="9" bestFit="1" customWidth="1"/>
    <col min="3065" max="3065" width="7.28515625" style="9" customWidth="1"/>
    <col min="3066" max="3066" width="7" style="9" customWidth="1"/>
    <col min="3067" max="3067" width="7.5703125" style="9" customWidth="1"/>
    <col min="3068" max="3068" width="7.140625" style="9" customWidth="1"/>
    <col min="3069" max="3069" width="7" style="9" customWidth="1"/>
    <col min="3070" max="3070" width="7.5703125" style="9" customWidth="1"/>
    <col min="3071" max="3071" width="7.140625" style="9" customWidth="1"/>
    <col min="3072" max="3088" width="8.7109375" style="9" customWidth="1"/>
    <col min="3089" max="3089" width="36.85546875" style="9" customWidth="1"/>
    <col min="3090" max="3096" width="14.28515625" style="9" customWidth="1"/>
    <col min="3097" max="3311" width="9.140625" style="9"/>
    <col min="3312" max="3312" width="38.5703125" style="9" customWidth="1"/>
    <col min="3313" max="3313" width="6.5703125" style="9" customWidth="1"/>
    <col min="3314" max="3314" width="7.7109375" style="9" bestFit="1" customWidth="1"/>
    <col min="3315" max="3315" width="7.28515625" style="9" customWidth="1"/>
    <col min="3316" max="3316" width="6.5703125" style="9" bestFit="1" customWidth="1"/>
    <col min="3317" max="3317" width="7.28515625" style="9" bestFit="1" customWidth="1"/>
    <col min="3318" max="3318" width="8.140625" style="9" customWidth="1"/>
    <col min="3319" max="3319" width="7.140625" style="9" customWidth="1"/>
    <col min="3320" max="3320" width="7.7109375" style="9" bestFit="1" customWidth="1"/>
    <col min="3321" max="3321" width="7.28515625" style="9" customWidth="1"/>
    <col min="3322" max="3322" width="7" style="9" customWidth="1"/>
    <col min="3323" max="3323" width="7.5703125" style="9" customWidth="1"/>
    <col min="3324" max="3324" width="7.140625" style="9" customWidth="1"/>
    <col min="3325" max="3325" width="7" style="9" customWidth="1"/>
    <col min="3326" max="3326" width="7.5703125" style="9" customWidth="1"/>
    <col min="3327" max="3327" width="7.140625" style="9" customWidth="1"/>
    <col min="3328" max="3344" width="8.7109375" style="9" customWidth="1"/>
    <col min="3345" max="3345" width="36.85546875" style="9" customWidth="1"/>
    <col min="3346" max="3352" width="14.28515625" style="9" customWidth="1"/>
    <col min="3353" max="3567" width="9.140625" style="9"/>
    <col min="3568" max="3568" width="38.5703125" style="9" customWidth="1"/>
    <col min="3569" max="3569" width="6.5703125" style="9" customWidth="1"/>
    <col min="3570" max="3570" width="7.7109375" style="9" bestFit="1" customWidth="1"/>
    <col min="3571" max="3571" width="7.28515625" style="9" customWidth="1"/>
    <col min="3572" max="3572" width="6.5703125" style="9" bestFit="1" customWidth="1"/>
    <col min="3573" max="3573" width="7.28515625" style="9" bestFit="1" customWidth="1"/>
    <col min="3574" max="3574" width="8.140625" style="9" customWidth="1"/>
    <col min="3575" max="3575" width="7.140625" style="9" customWidth="1"/>
    <col min="3576" max="3576" width="7.7109375" style="9" bestFit="1" customWidth="1"/>
    <col min="3577" max="3577" width="7.28515625" style="9" customWidth="1"/>
    <col min="3578" max="3578" width="7" style="9" customWidth="1"/>
    <col min="3579" max="3579" width="7.5703125" style="9" customWidth="1"/>
    <col min="3580" max="3580" width="7.140625" style="9" customWidth="1"/>
    <col min="3581" max="3581" width="7" style="9" customWidth="1"/>
    <col min="3582" max="3582" width="7.5703125" style="9" customWidth="1"/>
    <col min="3583" max="3583" width="7.140625" style="9" customWidth="1"/>
    <col min="3584" max="3600" width="8.7109375" style="9" customWidth="1"/>
    <col min="3601" max="3601" width="36.85546875" style="9" customWidth="1"/>
    <col min="3602" max="3608" width="14.28515625" style="9" customWidth="1"/>
    <col min="3609" max="3823" width="9.140625" style="9"/>
    <col min="3824" max="3824" width="38.5703125" style="9" customWidth="1"/>
    <col min="3825" max="3825" width="6.5703125" style="9" customWidth="1"/>
    <col min="3826" max="3826" width="7.7109375" style="9" bestFit="1" customWidth="1"/>
    <col min="3827" max="3827" width="7.28515625" style="9" customWidth="1"/>
    <col min="3828" max="3828" width="6.5703125" style="9" bestFit="1" customWidth="1"/>
    <col min="3829" max="3829" width="7.28515625" style="9" bestFit="1" customWidth="1"/>
    <col min="3830" max="3830" width="8.140625" style="9" customWidth="1"/>
    <col min="3831" max="3831" width="7.140625" style="9" customWidth="1"/>
    <col min="3832" max="3832" width="7.7109375" style="9" bestFit="1" customWidth="1"/>
    <col min="3833" max="3833" width="7.28515625" style="9" customWidth="1"/>
    <col min="3834" max="3834" width="7" style="9" customWidth="1"/>
    <col min="3835" max="3835" width="7.5703125" style="9" customWidth="1"/>
    <col min="3836" max="3836" width="7.140625" style="9" customWidth="1"/>
    <col min="3837" max="3837" width="7" style="9" customWidth="1"/>
    <col min="3838" max="3838" width="7.5703125" style="9" customWidth="1"/>
    <col min="3839" max="3839" width="7.140625" style="9" customWidth="1"/>
    <col min="3840" max="3856" width="8.7109375" style="9" customWidth="1"/>
    <col min="3857" max="3857" width="36.85546875" style="9" customWidth="1"/>
    <col min="3858" max="3864" width="14.28515625" style="9" customWidth="1"/>
    <col min="3865" max="4079" width="9.140625" style="9"/>
    <col min="4080" max="4080" width="38.5703125" style="9" customWidth="1"/>
    <col min="4081" max="4081" width="6.5703125" style="9" customWidth="1"/>
    <col min="4082" max="4082" width="7.7109375" style="9" bestFit="1" customWidth="1"/>
    <col min="4083" max="4083" width="7.28515625" style="9" customWidth="1"/>
    <col min="4084" max="4084" width="6.5703125" style="9" bestFit="1" customWidth="1"/>
    <col min="4085" max="4085" width="7.28515625" style="9" bestFit="1" customWidth="1"/>
    <col min="4086" max="4086" width="8.140625" style="9" customWidth="1"/>
    <col min="4087" max="4087" width="7.140625" style="9" customWidth="1"/>
    <col min="4088" max="4088" width="7.7109375" style="9" bestFit="1" customWidth="1"/>
    <col min="4089" max="4089" width="7.28515625" style="9" customWidth="1"/>
    <col min="4090" max="4090" width="7" style="9" customWidth="1"/>
    <col min="4091" max="4091" width="7.5703125" style="9" customWidth="1"/>
    <col min="4092" max="4092" width="7.140625" style="9" customWidth="1"/>
    <col min="4093" max="4093" width="7" style="9" customWidth="1"/>
    <col min="4094" max="4094" width="7.5703125" style="9" customWidth="1"/>
    <col min="4095" max="4095" width="7.140625" style="9" customWidth="1"/>
    <col min="4096" max="4112" width="8.7109375" style="9" customWidth="1"/>
    <col min="4113" max="4113" width="36.85546875" style="9" customWidth="1"/>
    <col min="4114" max="4120" width="14.28515625" style="9" customWidth="1"/>
    <col min="4121" max="4335" width="9.140625" style="9"/>
    <col min="4336" max="4336" width="38.5703125" style="9" customWidth="1"/>
    <col min="4337" max="4337" width="6.5703125" style="9" customWidth="1"/>
    <col min="4338" max="4338" width="7.7109375" style="9" bestFit="1" customWidth="1"/>
    <col min="4339" max="4339" width="7.28515625" style="9" customWidth="1"/>
    <col min="4340" max="4340" width="6.5703125" style="9" bestFit="1" customWidth="1"/>
    <col min="4341" max="4341" width="7.28515625" style="9" bestFit="1" customWidth="1"/>
    <col min="4342" max="4342" width="8.140625" style="9" customWidth="1"/>
    <col min="4343" max="4343" width="7.140625" style="9" customWidth="1"/>
    <col min="4344" max="4344" width="7.7109375" style="9" bestFit="1" customWidth="1"/>
    <col min="4345" max="4345" width="7.28515625" style="9" customWidth="1"/>
    <col min="4346" max="4346" width="7" style="9" customWidth="1"/>
    <col min="4347" max="4347" width="7.5703125" style="9" customWidth="1"/>
    <col min="4348" max="4348" width="7.140625" style="9" customWidth="1"/>
    <col min="4349" max="4349" width="7" style="9" customWidth="1"/>
    <col min="4350" max="4350" width="7.5703125" style="9" customWidth="1"/>
    <col min="4351" max="4351" width="7.140625" style="9" customWidth="1"/>
    <col min="4352" max="4368" width="8.7109375" style="9" customWidth="1"/>
    <col min="4369" max="4369" width="36.85546875" style="9" customWidth="1"/>
    <col min="4370" max="4376" width="14.28515625" style="9" customWidth="1"/>
    <col min="4377" max="4591" width="9.140625" style="9"/>
    <col min="4592" max="4592" width="38.5703125" style="9" customWidth="1"/>
    <col min="4593" max="4593" width="6.5703125" style="9" customWidth="1"/>
    <col min="4594" max="4594" width="7.7109375" style="9" bestFit="1" customWidth="1"/>
    <col min="4595" max="4595" width="7.28515625" style="9" customWidth="1"/>
    <col min="4596" max="4596" width="6.5703125" style="9" bestFit="1" customWidth="1"/>
    <col min="4597" max="4597" width="7.28515625" style="9" bestFit="1" customWidth="1"/>
    <col min="4598" max="4598" width="8.140625" style="9" customWidth="1"/>
    <col min="4599" max="4599" width="7.140625" style="9" customWidth="1"/>
    <col min="4600" max="4600" width="7.7109375" style="9" bestFit="1" customWidth="1"/>
    <col min="4601" max="4601" width="7.28515625" style="9" customWidth="1"/>
    <col min="4602" max="4602" width="7" style="9" customWidth="1"/>
    <col min="4603" max="4603" width="7.5703125" style="9" customWidth="1"/>
    <col min="4604" max="4604" width="7.140625" style="9" customWidth="1"/>
    <col min="4605" max="4605" width="7" style="9" customWidth="1"/>
    <col min="4606" max="4606" width="7.5703125" style="9" customWidth="1"/>
    <col min="4607" max="4607" width="7.140625" style="9" customWidth="1"/>
    <col min="4608" max="4624" width="8.7109375" style="9" customWidth="1"/>
    <col min="4625" max="4625" width="36.85546875" style="9" customWidth="1"/>
    <col min="4626" max="4632" width="14.28515625" style="9" customWidth="1"/>
    <col min="4633" max="4847" width="9.140625" style="9"/>
    <col min="4848" max="4848" width="38.5703125" style="9" customWidth="1"/>
    <col min="4849" max="4849" width="6.5703125" style="9" customWidth="1"/>
    <col min="4850" max="4850" width="7.7109375" style="9" bestFit="1" customWidth="1"/>
    <col min="4851" max="4851" width="7.28515625" style="9" customWidth="1"/>
    <col min="4852" max="4852" width="6.5703125" style="9" bestFit="1" customWidth="1"/>
    <col min="4853" max="4853" width="7.28515625" style="9" bestFit="1" customWidth="1"/>
    <col min="4854" max="4854" width="8.140625" style="9" customWidth="1"/>
    <col min="4855" max="4855" width="7.140625" style="9" customWidth="1"/>
    <col min="4856" max="4856" width="7.7109375" style="9" bestFit="1" customWidth="1"/>
    <col min="4857" max="4857" width="7.28515625" style="9" customWidth="1"/>
    <col min="4858" max="4858" width="7" style="9" customWidth="1"/>
    <col min="4859" max="4859" width="7.5703125" style="9" customWidth="1"/>
    <col min="4860" max="4860" width="7.140625" style="9" customWidth="1"/>
    <col min="4861" max="4861" width="7" style="9" customWidth="1"/>
    <col min="4862" max="4862" width="7.5703125" style="9" customWidth="1"/>
    <col min="4863" max="4863" width="7.140625" style="9" customWidth="1"/>
    <col min="4864" max="4880" width="8.7109375" style="9" customWidth="1"/>
    <col min="4881" max="4881" width="36.85546875" style="9" customWidth="1"/>
    <col min="4882" max="4888" width="14.28515625" style="9" customWidth="1"/>
    <col min="4889" max="5103" width="9.140625" style="9"/>
    <col min="5104" max="5104" width="38.5703125" style="9" customWidth="1"/>
    <col min="5105" max="5105" width="6.5703125" style="9" customWidth="1"/>
    <col min="5106" max="5106" width="7.7109375" style="9" bestFit="1" customWidth="1"/>
    <col min="5107" max="5107" width="7.28515625" style="9" customWidth="1"/>
    <col min="5108" max="5108" width="6.5703125" style="9" bestFit="1" customWidth="1"/>
    <col min="5109" max="5109" width="7.28515625" style="9" bestFit="1" customWidth="1"/>
    <col min="5110" max="5110" width="8.140625" style="9" customWidth="1"/>
    <col min="5111" max="5111" width="7.140625" style="9" customWidth="1"/>
    <col min="5112" max="5112" width="7.7109375" style="9" bestFit="1" customWidth="1"/>
    <col min="5113" max="5113" width="7.28515625" style="9" customWidth="1"/>
    <col min="5114" max="5114" width="7" style="9" customWidth="1"/>
    <col min="5115" max="5115" width="7.5703125" style="9" customWidth="1"/>
    <col min="5116" max="5116" width="7.140625" style="9" customWidth="1"/>
    <col min="5117" max="5117" width="7" style="9" customWidth="1"/>
    <col min="5118" max="5118" width="7.5703125" style="9" customWidth="1"/>
    <col min="5119" max="5119" width="7.140625" style="9" customWidth="1"/>
    <col min="5120" max="5136" width="8.7109375" style="9" customWidth="1"/>
    <col min="5137" max="5137" width="36.85546875" style="9" customWidth="1"/>
    <col min="5138" max="5144" width="14.28515625" style="9" customWidth="1"/>
    <col min="5145" max="5359" width="9.140625" style="9"/>
    <col min="5360" max="5360" width="38.5703125" style="9" customWidth="1"/>
    <col min="5361" max="5361" width="6.5703125" style="9" customWidth="1"/>
    <col min="5362" max="5362" width="7.7109375" style="9" bestFit="1" customWidth="1"/>
    <col min="5363" max="5363" width="7.28515625" style="9" customWidth="1"/>
    <col min="5364" max="5364" width="6.5703125" style="9" bestFit="1" customWidth="1"/>
    <col min="5365" max="5365" width="7.28515625" style="9" bestFit="1" customWidth="1"/>
    <col min="5366" max="5366" width="8.140625" style="9" customWidth="1"/>
    <col min="5367" max="5367" width="7.140625" style="9" customWidth="1"/>
    <col min="5368" max="5368" width="7.7109375" style="9" bestFit="1" customWidth="1"/>
    <col min="5369" max="5369" width="7.28515625" style="9" customWidth="1"/>
    <col min="5370" max="5370" width="7" style="9" customWidth="1"/>
    <col min="5371" max="5371" width="7.5703125" style="9" customWidth="1"/>
    <col min="5372" max="5372" width="7.140625" style="9" customWidth="1"/>
    <col min="5373" max="5373" width="7" style="9" customWidth="1"/>
    <col min="5374" max="5374" width="7.5703125" style="9" customWidth="1"/>
    <col min="5375" max="5375" width="7.140625" style="9" customWidth="1"/>
    <col min="5376" max="5392" width="8.7109375" style="9" customWidth="1"/>
    <col min="5393" max="5393" width="36.85546875" style="9" customWidth="1"/>
    <col min="5394" max="5400" width="14.28515625" style="9" customWidth="1"/>
    <col min="5401" max="5615" width="9.140625" style="9"/>
    <col min="5616" max="5616" width="38.5703125" style="9" customWidth="1"/>
    <col min="5617" max="5617" width="6.5703125" style="9" customWidth="1"/>
    <col min="5618" max="5618" width="7.7109375" style="9" bestFit="1" customWidth="1"/>
    <col min="5619" max="5619" width="7.28515625" style="9" customWidth="1"/>
    <col min="5620" max="5620" width="6.5703125" style="9" bestFit="1" customWidth="1"/>
    <col min="5621" max="5621" width="7.28515625" style="9" bestFit="1" customWidth="1"/>
    <col min="5622" max="5622" width="8.140625" style="9" customWidth="1"/>
    <col min="5623" max="5623" width="7.140625" style="9" customWidth="1"/>
    <col min="5624" max="5624" width="7.7109375" style="9" bestFit="1" customWidth="1"/>
    <col min="5625" max="5625" width="7.28515625" style="9" customWidth="1"/>
    <col min="5626" max="5626" width="7" style="9" customWidth="1"/>
    <col min="5627" max="5627" width="7.5703125" style="9" customWidth="1"/>
    <col min="5628" max="5628" width="7.140625" style="9" customWidth="1"/>
    <col min="5629" max="5629" width="7" style="9" customWidth="1"/>
    <col min="5630" max="5630" width="7.5703125" style="9" customWidth="1"/>
    <col min="5631" max="5631" width="7.140625" style="9" customWidth="1"/>
    <col min="5632" max="5648" width="8.7109375" style="9" customWidth="1"/>
    <col min="5649" max="5649" width="36.85546875" style="9" customWidth="1"/>
    <col min="5650" max="5656" width="14.28515625" style="9" customWidth="1"/>
    <col min="5657" max="5871" width="9.140625" style="9"/>
    <col min="5872" max="5872" width="38.5703125" style="9" customWidth="1"/>
    <col min="5873" max="5873" width="6.5703125" style="9" customWidth="1"/>
    <col min="5874" max="5874" width="7.7109375" style="9" bestFit="1" customWidth="1"/>
    <col min="5875" max="5875" width="7.28515625" style="9" customWidth="1"/>
    <col min="5876" max="5876" width="6.5703125" style="9" bestFit="1" customWidth="1"/>
    <col min="5877" max="5877" width="7.28515625" style="9" bestFit="1" customWidth="1"/>
    <col min="5878" max="5878" width="8.140625" style="9" customWidth="1"/>
    <col min="5879" max="5879" width="7.140625" style="9" customWidth="1"/>
    <col min="5880" max="5880" width="7.7109375" style="9" bestFit="1" customWidth="1"/>
    <col min="5881" max="5881" width="7.28515625" style="9" customWidth="1"/>
    <col min="5882" max="5882" width="7" style="9" customWidth="1"/>
    <col min="5883" max="5883" width="7.5703125" style="9" customWidth="1"/>
    <col min="5884" max="5884" width="7.140625" style="9" customWidth="1"/>
    <col min="5885" max="5885" width="7" style="9" customWidth="1"/>
    <col min="5886" max="5886" width="7.5703125" style="9" customWidth="1"/>
    <col min="5887" max="5887" width="7.140625" style="9" customWidth="1"/>
    <col min="5888" max="5904" width="8.7109375" style="9" customWidth="1"/>
    <col min="5905" max="5905" width="36.85546875" style="9" customWidth="1"/>
    <col min="5906" max="5912" width="14.28515625" style="9" customWidth="1"/>
    <col min="5913" max="6127" width="9.140625" style="9"/>
    <col min="6128" max="6128" width="38.5703125" style="9" customWidth="1"/>
    <col min="6129" max="6129" width="6.5703125" style="9" customWidth="1"/>
    <col min="6130" max="6130" width="7.7109375" style="9" bestFit="1" customWidth="1"/>
    <col min="6131" max="6131" width="7.28515625" style="9" customWidth="1"/>
    <col min="6132" max="6132" width="6.5703125" style="9" bestFit="1" customWidth="1"/>
    <col min="6133" max="6133" width="7.28515625" style="9" bestFit="1" customWidth="1"/>
    <col min="6134" max="6134" width="8.140625" style="9" customWidth="1"/>
    <col min="6135" max="6135" width="7.140625" style="9" customWidth="1"/>
    <col min="6136" max="6136" width="7.7109375" style="9" bestFit="1" customWidth="1"/>
    <col min="6137" max="6137" width="7.28515625" style="9" customWidth="1"/>
    <col min="6138" max="6138" width="7" style="9" customWidth="1"/>
    <col min="6139" max="6139" width="7.5703125" style="9" customWidth="1"/>
    <col min="6140" max="6140" width="7.140625" style="9" customWidth="1"/>
    <col min="6141" max="6141" width="7" style="9" customWidth="1"/>
    <col min="6142" max="6142" width="7.5703125" style="9" customWidth="1"/>
    <col min="6143" max="6143" width="7.140625" style="9" customWidth="1"/>
    <col min="6144" max="6160" width="8.7109375" style="9" customWidth="1"/>
    <col min="6161" max="6161" width="36.85546875" style="9" customWidth="1"/>
    <col min="6162" max="6168" width="14.28515625" style="9" customWidth="1"/>
    <col min="6169" max="6383" width="9.140625" style="9"/>
    <col min="6384" max="6384" width="38.5703125" style="9" customWidth="1"/>
    <col min="6385" max="6385" width="6.5703125" style="9" customWidth="1"/>
    <col min="6386" max="6386" width="7.7109375" style="9" bestFit="1" customWidth="1"/>
    <col min="6387" max="6387" width="7.28515625" style="9" customWidth="1"/>
    <col min="6388" max="6388" width="6.5703125" style="9" bestFit="1" customWidth="1"/>
    <col min="6389" max="6389" width="7.28515625" style="9" bestFit="1" customWidth="1"/>
    <col min="6390" max="6390" width="8.140625" style="9" customWidth="1"/>
    <col min="6391" max="6391" width="7.140625" style="9" customWidth="1"/>
    <col min="6392" max="6392" width="7.7109375" style="9" bestFit="1" customWidth="1"/>
    <col min="6393" max="6393" width="7.28515625" style="9" customWidth="1"/>
    <col min="6394" max="6394" width="7" style="9" customWidth="1"/>
    <col min="6395" max="6395" width="7.5703125" style="9" customWidth="1"/>
    <col min="6396" max="6396" width="7.140625" style="9" customWidth="1"/>
    <col min="6397" max="6397" width="7" style="9" customWidth="1"/>
    <col min="6398" max="6398" width="7.5703125" style="9" customWidth="1"/>
    <col min="6399" max="6399" width="7.140625" style="9" customWidth="1"/>
    <col min="6400" max="6416" width="8.7109375" style="9" customWidth="1"/>
    <col min="6417" max="6417" width="36.85546875" style="9" customWidth="1"/>
    <col min="6418" max="6424" width="14.28515625" style="9" customWidth="1"/>
    <col min="6425" max="6639" width="9.140625" style="9"/>
    <col min="6640" max="6640" width="38.5703125" style="9" customWidth="1"/>
    <col min="6641" max="6641" width="6.5703125" style="9" customWidth="1"/>
    <col min="6642" max="6642" width="7.7109375" style="9" bestFit="1" customWidth="1"/>
    <col min="6643" max="6643" width="7.28515625" style="9" customWidth="1"/>
    <col min="6644" max="6644" width="6.5703125" style="9" bestFit="1" customWidth="1"/>
    <col min="6645" max="6645" width="7.28515625" style="9" bestFit="1" customWidth="1"/>
    <col min="6646" max="6646" width="8.140625" style="9" customWidth="1"/>
    <col min="6647" max="6647" width="7.140625" style="9" customWidth="1"/>
    <col min="6648" max="6648" width="7.7109375" style="9" bestFit="1" customWidth="1"/>
    <col min="6649" max="6649" width="7.28515625" style="9" customWidth="1"/>
    <col min="6650" max="6650" width="7" style="9" customWidth="1"/>
    <col min="6651" max="6651" width="7.5703125" style="9" customWidth="1"/>
    <col min="6652" max="6652" width="7.140625" style="9" customWidth="1"/>
    <col min="6653" max="6653" width="7" style="9" customWidth="1"/>
    <col min="6654" max="6654" width="7.5703125" style="9" customWidth="1"/>
    <col min="6655" max="6655" width="7.140625" style="9" customWidth="1"/>
    <col min="6656" max="6672" width="8.7109375" style="9" customWidth="1"/>
    <col min="6673" max="6673" width="36.85546875" style="9" customWidth="1"/>
    <col min="6674" max="6680" width="14.28515625" style="9" customWidth="1"/>
    <col min="6681" max="6895" width="9.140625" style="9"/>
    <col min="6896" max="6896" width="38.5703125" style="9" customWidth="1"/>
    <col min="6897" max="6897" width="6.5703125" style="9" customWidth="1"/>
    <col min="6898" max="6898" width="7.7109375" style="9" bestFit="1" customWidth="1"/>
    <col min="6899" max="6899" width="7.28515625" style="9" customWidth="1"/>
    <col min="6900" max="6900" width="6.5703125" style="9" bestFit="1" customWidth="1"/>
    <col min="6901" max="6901" width="7.28515625" style="9" bestFit="1" customWidth="1"/>
    <col min="6902" max="6902" width="8.140625" style="9" customWidth="1"/>
    <col min="6903" max="6903" width="7.140625" style="9" customWidth="1"/>
    <col min="6904" max="6904" width="7.7109375" style="9" bestFit="1" customWidth="1"/>
    <col min="6905" max="6905" width="7.28515625" style="9" customWidth="1"/>
    <col min="6906" max="6906" width="7" style="9" customWidth="1"/>
    <col min="6907" max="6907" width="7.5703125" style="9" customWidth="1"/>
    <col min="6908" max="6908" width="7.140625" style="9" customWidth="1"/>
    <col min="6909" max="6909" width="7" style="9" customWidth="1"/>
    <col min="6910" max="6910" width="7.5703125" style="9" customWidth="1"/>
    <col min="6911" max="6911" width="7.140625" style="9" customWidth="1"/>
    <col min="6912" max="6928" width="8.7109375" style="9" customWidth="1"/>
    <col min="6929" max="6929" width="36.85546875" style="9" customWidth="1"/>
    <col min="6930" max="6936" width="14.28515625" style="9" customWidth="1"/>
    <col min="6937" max="7151" width="9.140625" style="9"/>
    <col min="7152" max="7152" width="38.5703125" style="9" customWidth="1"/>
    <col min="7153" max="7153" width="6.5703125" style="9" customWidth="1"/>
    <col min="7154" max="7154" width="7.7109375" style="9" bestFit="1" customWidth="1"/>
    <col min="7155" max="7155" width="7.28515625" style="9" customWidth="1"/>
    <col min="7156" max="7156" width="6.5703125" style="9" bestFit="1" customWidth="1"/>
    <col min="7157" max="7157" width="7.28515625" style="9" bestFit="1" customWidth="1"/>
    <col min="7158" max="7158" width="8.140625" style="9" customWidth="1"/>
    <col min="7159" max="7159" width="7.140625" style="9" customWidth="1"/>
    <col min="7160" max="7160" width="7.7109375" style="9" bestFit="1" customWidth="1"/>
    <col min="7161" max="7161" width="7.28515625" style="9" customWidth="1"/>
    <col min="7162" max="7162" width="7" style="9" customWidth="1"/>
    <col min="7163" max="7163" width="7.5703125" style="9" customWidth="1"/>
    <col min="7164" max="7164" width="7.140625" style="9" customWidth="1"/>
    <col min="7165" max="7165" width="7" style="9" customWidth="1"/>
    <col min="7166" max="7166" width="7.5703125" style="9" customWidth="1"/>
    <col min="7167" max="7167" width="7.140625" style="9" customWidth="1"/>
    <col min="7168" max="7184" width="8.7109375" style="9" customWidth="1"/>
    <col min="7185" max="7185" width="36.85546875" style="9" customWidth="1"/>
    <col min="7186" max="7192" width="14.28515625" style="9" customWidth="1"/>
    <col min="7193" max="7407" width="9.140625" style="9"/>
    <col min="7408" max="7408" width="38.5703125" style="9" customWidth="1"/>
    <col min="7409" max="7409" width="6.5703125" style="9" customWidth="1"/>
    <col min="7410" max="7410" width="7.7109375" style="9" bestFit="1" customWidth="1"/>
    <col min="7411" max="7411" width="7.28515625" style="9" customWidth="1"/>
    <col min="7412" max="7412" width="6.5703125" style="9" bestFit="1" customWidth="1"/>
    <col min="7413" max="7413" width="7.28515625" style="9" bestFit="1" customWidth="1"/>
    <col min="7414" max="7414" width="8.140625" style="9" customWidth="1"/>
    <col min="7415" max="7415" width="7.140625" style="9" customWidth="1"/>
    <col min="7416" max="7416" width="7.7109375" style="9" bestFit="1" customWidth="1"/>
    <col min="7417" max="7417" width="7.28515625" style="9" customWidth="1"/>
    <col min="7418" max="7418" width="7" style="9" customWidth="1"/>
    <col min="7419" max="7419" width="7.5703125" style="9" customWidth="1"/>
    <col min="7420" max="7420" width="7.140625" style="9" customWidth="1"/>
    <col min="7421" max="7421" width="7" style="9" customWidth="1"/>
    <col min="7422" max="7422" width="7.5703125" style="9" customWidth="1"/>
    <col min="7423" max="7423" width="7.140625" style="9" customWidth="1"/>
    <col min="7424" max="7440" width="8.7109375" style="9" customWidth="1"/>
    <col min="7441" max="7441" width="36.85546875" style="9" customWidth="1"/>
    <col min="7442" max="7448" width="14.28515625" style="9" customWidth="1"/>
    <col min="7449" max="7663" width="9.140625" style="9"/>
    <col min="7664" max="7664" width="38.5703125" style="9" customWidth="1"/>
    <col min="7665" max="7665" width="6.5703125" style="9" customWidth="1"/>
    <col min="7666" max="7666" width="7.7109375" style="9" bestFit="1" customWidth="1"/>
    <col min="7667" max="7667" width="7.28515625" style="9" customWidth="1"/>
    <col min="7668" max="7668" width="6.5703125" style="9" bestFit="1" customWidth="1"/>
    <col min="7669" max="7669" width="7.28515625" style="9" bestFit="1" customWidth="1"/>
    <col min="7670" max="7670" width="8.140625" style="9" customWidth="1"/>
    <col min="7671" max="7671" width="7.140625" style="9" customWidth="1"/>
    <col min="7672" max="7672" width="7.7109375" style="9" bestFit="1" customWidth="1"/>
    <col min="7673" max="7673" width="7.28515625" style="9" customWidth="1"/>
    <col min="7674" max="7674" width="7" style="9" customWidth="1"/>
    <col min="7675" max="7675" width="7.5703125" style="9" customWidth="1"/>
    <col min="7676" max="7676" width="7.140625" style="9" customWidth="1"/>
    <col min="7677" max="7677" width="7" style="9" customWidth="1"/>
    <col min="7678" max="7678" width="7.5703125" style="9" customWidth="1"/>
    <col min="7679" max="7679" width="7.140625" style="9" customWidth="1"/>
    <col min="7680" max="7696" width="8.7109375" style="9" customWidth="1"/>
    <col min="7697" max="7697" width="36.85546875" style="9" customWidth="1"/>
    <col min="7698" max="7704" width="14.28515625" style="9" customWidth="1"/>
    <col min="7705" max="7919" width="9.140625" style="9"/>
    <col min="7920" max="7920" width="38.5703125" style="9" customWidth="1"/>
    <col min="7921" max="7921" width="6.5703125" style="9" customWidth="1"/>
    <col min="7922" max="7922" width="7.7109375" style="9" bestFit="1" customWidth="1"/>
    <col min="7923" max="7923" width="7.28515625" style="9" customWidth="1"/>
    <col min="7924" max="7924" width="6.5703125" style="9" bestFit="1" customWidth="1"/>
    <col min="7925" max="7925" width="7.28515625" style="9" bestFit="1" customWidth="1"/>
    <col min="7926" max="7926" width="8.140625" style="9" customWidth="1"/>
    <col min="7927" max="7927" width="7.140625" style="9" customWidth="1"/>
    <col min="7928" max="7928" width="7.7109375" style="9" bestFit="1" customWidth="1"/>
    <col min="7929" max="7929" width="7.28515625" style="9" customWidth="1"/>
    <col min="7930" max="7930" width="7" style="9" customWidth="1"/>
    <col min="7931" max="7931" width="7.5703125" style="9" customWidth="1"/>
    <col min="7932" max="7932" width="7.140625" style="9" customWidth="1"/>
    <col min="7933" max="7933" width="7" style="9" customWidth="1"/>
    <col min="7934" max="7934" width="7.5703125" style="9" customWidth="1"/>
    <col min="7935" max="7935" width="7.140625" style="9" customWidth="1"/>
    <col min="7936" max="7952" width="8.7109375" style="9" customWidth="1"/>
    <col min="7953" max="7953" width="36.85546875" style="9" customWidth="1"/>
    <col min="7954" max="7960" width="14.28515625" style="9" customWidth="1"/>
    <col min="7961" max="8175" width="9.140625" style="9"/>
    <col min="8176" max="8176" width="38.5703125" style="9" customWidth="1"/>
    <col min="8177" max="8177" width="6.5703125" style="9" customWidth="1"/>
    <col min="8178" max="8178" width="7.7109375" style="9" bestFit="1" customWidth="1"/>
    <col min="8179" max="8179" width="7.28515625" style="9" customWidth="1"/>
    <col min="8180" max="8180" width="6.5703125" style="9" bestFit="1" customWidth="1"/>
    <col min="8181" max="8181" width="7.28515625" style="9" bestFit="1" customWidth="1"/>
    <col min="8182" max="8182" width="8.140625" style="9" customWidth="1"/>
    <col min="8183" max="8183" width="7.140625" style="9" customWidth="1"/>
    <col min="8184" max="8184" width="7.7109375" style="9" bestFit="1" customWidth="1"/>
    <col min="8185" max="8185" width="7.28515625" style="9" customWidth="1"/>
    <col min="8186" max="8186" width="7" style="9" customWidth="1"/>
    <col min="8187" max="8187" width="7.5703125" style="9" customWidth="1"/>
    <col min="8188" max="8188" width="7.140625" style="9" customWidth="1"/>
    <col min="8189" max="8189" width="7" style="9" customWidth="1"/>
    <col min="8190" max="8190" width="7.5703125" style="9" customWidth="1"/>
    <col min="8191" max="8191" width="7.140625" style="9" customWidth="1"/>
    <col min="8192" max="8208" width="8.7109375" style="9" customWidth="1"/>
    <col min="8209" max="8209" width="36.85546875" style="9" customWidth="1"/>
    <col min="8210" max="8216" width="14.28515625" style="9" customWidth="1"/>
    <col min="8217" max="8431" width="9.140625" style="9"/>
    <col min="8432" max="8432" width="38.5703125" style="9" customWidth="1"/>
    <col min="8433" max="8433" width="6.5703125" style="9" customWidth="1"/>
    <col min="8434" max="8434" width="7.7109375" style="9" bestFit="1" customWidth="1"/>
    <col min="8435" max="8435" width="7.28515625" style="9" customWidth="1"/>
    <col min="8436" max="8436" width="6.5703125" style="9" bestFit="1" customWidth="1"/>
    <col min="8437" max="8437" width="7.28515625" style="9" bestFit="1" customWidth="1"/>
    <col min="8438" max="8438" width="8.140625" style="9" customWidth="1"/>
    <col min="8439" max="8439" width="7.140625" style="9" customWidth="1"/>
    <col min="8440" max="8440" width="7.7109375" style="9" bestFit="1" customWidth="1"/>
    <col min="8441" max="8441" width="7.28515625" style="9" customWidth="1"/>
    <col min="8442" max="8442" width="7" style="9" customWidth="1"/>
    <col min="8443" max="8443" width="7.5703125" style="9" customWidth="1"/>
    <col min="8444" max="8444" width="7.140625" style="9" customWidth="1"/>
    <col min="8445" max="8445" width="7" style="9" customWidth="1"/>
    <col min="8446" max="8446" width="7.5703125" style="9" customWidth="1"/>
    <col min="8447" max="8447" width="7.140625" style="9" customWidth="1"/>
    <col min="8448" max="8464" width="8.7109375" style="9" customWidth="1"/>
    <col min="8465" max="8465" width="36.85546875" style="9" customWidth="1"/>
    <col min="8466" max="8472" width="14.28515625" style="9" customWidth="1"/>
    <col min="8473" max="8687" width="9.140625" style="9"/>
    <col min="8688" max="8688" width="38.5703125" style="9" customWidth="1"/>
    <col min="8689" max="8689" width="6.5703125" style="9" customWidth="1"/>
    <col min="8690" max="8690" width="7.7109375" style="9" bestFit="1" customWidth="1"/>
    <col min="8691" max="8691" width="7.28515625" style="9" customWidth="1"/>
    <col min="8692" max="8692" width="6.5703125" style="9" bestFit="1" customWidth="1"/>
    <col min="8693" max="8693" width="7.28515625" style="9" bestFit="1" customWidth="1"/>
    <col min="8694" max="8694" width="8.140625" style="9" customWidth="1"/>
    <col min="8695" max="8695" width="7.140625" style="9" customWidth="1"/>
    <col min="8696" max="8696" width="7.7109375" style="9" bestFit="1" customWidth="1"/>
    <col min="8697" max="8697" width="7.28515625" style="9" customWidth="1"/>
    <col min="8698" max="8698" width="7" style="9" customWidth="1"/>
    <col min="8699" max="8699" width="7.5703125" style="9" customWidth="1"/>
    <col min="8700" max="8700" width="7.140625" style="9" customWidth="1"/>
    <col min="8701" max="8701" width="7" style="9" customWidth="1"/>
    <col min="8702" max="8702" width="7.5703125" style="9" customWidth="1"/>
    <col min="8703" max="8703" width="7.140625" style="9" customWidth="1"/>
    <col min="8704" max="8720" width="8.7109375" style="9" customWidth="1"/>
    <col min="8721" max="8721" width="36.85546875" style="9" customWidth="1"/>
    <col min="8722" max="8728" width="14.28515625" style="9" customWidth="1"/>
    <col min="8729" max="8943" width="9.140625" style="9"/>
    <col min="8944" max="8944" width="38.5703125" style="9" customWidth="1"/>
    <col min="8945" max="8945" width="6.5703125" style="9" customWidth="1"/>
    <col min="8946" max="8946" width="7.7109375" style="9" bestFit="1" customWidth="1"/>
    <col min="8947" max="8947" width="7.28515625" style="9" customWidth="1"/>
    <col min="8948" max="8948" width="6.5703125" style="9" bestFit="1" customWidth="1"/>
    <col min="8949" max="8949" width="7.28515625" style="9" bestFit="1" customWidth="1"/>
    <col min="8950" max="8950" width="8.140625" style="9" customWidth="1"/>
    <col min="8951" max="8951" width="7.140625" style="9" customWidth="1"/>
    <col min="8952" max="8952" width="7.7109375" style="9" bestFit="1" customWidth="1"/>
    <col min="8953" max="8953" width="7.28515625" style="9" customWidth="1"/>
    <col min="8954" max="8954" width="7" style="9" customWidth="1"/>
    <col min="8955" max="8955" width="7.5703125" style="9" customWidth="1"/>
    <col min="8956" max="8956" width="7.140625" style="9" customWidth="1"/>
    <col min="8957" max="8957" width="7" style="9" customWidth="1"/>
    <col min="8958" max="8958" width="7.5703125" style="9" customWidth="1"/>
    <col min="8959" max="8959" width="7.140625" style="9" customWidth="1"/>
    <col min="8960" max="8976" width="8.7109375" style="9" customWidth="1"/>
    <col min="8977" max="8977" width="36.85546875" style="9" customWidth="1"/>
    <col min="8978" max="8984" width="14.28515625" style="9" customWidth="1"/>
    <col min="8985" max="9199" width="9.140625" style="9"/>
    <col min="9200" max="9200" width="38.5703125" style="9" customWidth="1"/>
    <col min="9201" max="9201" width="6.5703125" style="9" customWidth="1"/>
    <col min="9202" max="9202" width="7.7109375" style="9" bestFit="1" customWidth="1"/>
    <col min="9203" max="9203" width="7.28515625" style="9" customWidth="1"/>
    <col min="9204" max="9204" width="6.5703125" style="9" bestFit="1" customWidth="1"/>
    <col min="9205" max="9205" width="7.28515625" style="9" bestFit="1" customWidth="1"/>
    <col min="9206" max="9206" width="8.140625" style="9" customWidth="1"/>
    <col min="9207" max="9207" width="7.140625" style="9" customWidth="1"/>
    <col min="9208" max="9208" width="7.7109375" style="9" bestFit="1" customWidth="1"/>
    <col min="9209" max="9209" width="7.28515625" style="9" customWidth="1"/>
    <col min="9210" max="9210" width="7" style="9" customWidth="1"/>
    <col min="9211" max="9211" width="7.5703125" style="9" customWidth="1"/>
    <col min="9212" max="9212" width="7.140625" style="9" customWidth="1"/>
    <col min="9213" max="9213" width="7" style="9" customWidth="1"/>
    <col min="9214" max="9214" width="7.5703125" style="9" customWidth="1"/>
    <col min="9215" max="9215" width="7.140625" style="9" customWidth="1"/>
    <col min="9216" max="9232" width="8.7109375" style="9" customWidth="1"/>
    <col min="9233" max="9233" width="36.85546875" style="9" customWidth="1"/>
    <col min="9234" max="9240" width="14.28515625" style="9" customWidth="1"/>
    <col min="9241" max="9455" width="9.140625" style="9"/>
    <col min="9456" max="9456" width="38.5703125" style="9" customWidth="1"/>
    <col min="9457" max="9457" width="6.5703125" style="9" customWidth="1"/>
    <col min="9458" max="9458" width="7.7109375" style="9" bestFit="1" customWidth="1"/>
    <col min="9459" max="9459" width="7.28515625" style="9" customWidth="1"/>
    <col min="9460" max="9460" width="6.5703125" style="9" bestFit="1" customWidth="1"/>
    <col min="9461" max="9461" width="7.28515625" style="9" bestFit="1" customWidth="1"/>
    <col min="9462" max="9462" width="8.140625" style="9" customWidth="1"/>
    <col min="9463" max="9463" width="7.140625" style="9" customWidth="1"/>
    <col min="9464" max="9464" width="7.7109375" style="9" bestFit="1" customWidth="1"/>
    <col min="9465" max="9465" width="7.28515625" style="9" customWidth="1"/>
    <col min="9466" max="9466" width="7" style="9" customWidth="1"/>
    <col min="9467" max="9467" width="7.5703125" style="9" customWidth="1"/>
    <col min="9468" max="9468" width="7.140625" style="9" customWidth="1"/>
    <col min="9469" max="9469" width="7" style="9" customWidth="1"/>
    <col min="9470" max="9470" width="7.5703125" style="9" customWidth="1"/>
    <col min="9471" max="9471" width="7.140625" style="9" customWidth="1"/>
    <col min="9472" max="9488" width="8.7109375" style="9" customWidth="1"/>
    <col min="9489" max="9489" width="36.85546875" style="9" customWidth="1"/>
    <col min="9490" max="9496" width="14.28515625" style="9" customWidth="1"/>
    <col min="9497" max="9711" width="9.140625" style="9"/>
    <col min="9712" max="9712" width="38.5703125" style="9" customWidth="1"/>
    <col min="9713" max="9713" width="6.5703125" style="9" customWidth="1"/>
    <col min="9714" max="9714" width="7.7109375" style="9" bestFit="1" customWidth="1"/>
    <col min="9715" max="9715" width="7.28515625" style="9" customWidth="1"/>
    <col min="9716" max="9716" width="6.5703125" style="9" bestFit="1" customWidth="1"/>
    <col min="9717" max="9717" width="7.28515625" style="9" bestFit="1" customWidth="1"/>
    <col min="9718" max="9718" width="8.140625" style="9" customWidth="1"/>
    <col min="9719" max="9719" width="7.140625" style="9" customWidth="1"/>
    <col min="9720" max="9720" width="7.7109375" style="9" bestFit="1" customWidth="1"/>
    <col min="9721" max="9721" width="7.28515625" style="9" customWidth="1"/>
    <col min="9722" max="9722" width="7" style="9" customWidth="1"/>
    <col min="9723" max="9723" width="7.5703125" style="9" customWidth="1"/>
    <col min="9724" max="9724" width="7.140625" style="9" customWidth="1"/>
    <col min="9725" max="9725" width="7" style="9" customWidth="1"/>
    <col min="9726" max="9726" width="7.5703125" style="9" customWidth="1"/>
    <col min="9727" max="9727" width="7.140625" style="9" customWidth="1"/>
    <col min="9728" max="9744" width="8.7109375" style="9" customWidth="1"/>
    <col min="9745" max="9745" width="36.85546875" style="9" customWidth="1"/>
    <col min="9746" max="9752" width="14.28515625" style="9" customWidth="1"/>
    <col min="9753" max="9967" width="9.140625" style="9"/>
    <col min="9968" max="9968" width="38.5703125" style="9" customWidth="1"/>
    <col min="9969" max="9969" width="6.5703125" style="9" customWidth="1"/>
    <col min="9970" max="9970" width="7.7109375" style="9" bestFit="1" customWidth="1"/>
    <col min="9971" max="9971" width="7.28515625" style="9" customWidth="1"/>
    <col min="9972" max="9972" width="6.5703125" style="9" bestFit="1" customWidth="1"/>
    <col min="9973" max="9973" width="7.28515625" style="9" bestFit="1" customWidth="1"/>
    <col min="9974" max="9974" width="8.140625" style="9" customWidth="1"/>
    <col min="9975" max="9975" width="7.140625" style="9" customWidth="1"/>
    <col min="9976" max="9976" width="7.7109375" style="9" bestFit="1" customWidth="1"/>
    <col min="9977" max="9977" width="7.28515625" style="9" customWidth="1"/>
    <col min="9978" max="9978" width="7" style="9" customWidth="1"/>
    <col min="9979" max="9979" width="7.5703125" style="9" customWidth="1"/>
    <col min="9980" max="9980" width="7.140625" style="9" customWidth="1"/>
    <col min="9981" max="9981" width="7" style="9" customWidth="1"/>
    <col min="9982" max="9982" width="7.5703125" style="9" customWidth="1"/>
    <col min="9983" max="9983" width="7.140625" style="9" customWidth="1"/>
    <col min="9984" max="10000" width="8.7109375" style="9" customWidth="1"/>
    <col min="10001" max="10001" width="36.85546875" style="9" customWidth="1"/>
    <col min="10002" max="10008" width="14.28515625" style="9" customWidth="1"/>
    <col min="10009" max="10223" width="9.140625" style="9"/>
    <col min="10224" max="10224" width="38.5703125" style="9" customWidth="1"/>
    <col min="10225" max="10225" width="6.5703125" style="9" customWidth="1"/>
    <col min="10226" max="10226" width="7.7109375" style="9" bestFit="1" customWidth="1"/>
    <col min="10227" max="10227" width="7.28515625" style="9" customWidth="1"/>
    <col min="10228" max="10228" width="6.5703125" style="9" bestFit="1" customWidth="1"/>
    <col min="10229" max="10229" width="7.28515625" style="9" bestFit="1" customWidth="1"/>
    <col min="10230" max="10230" width="8.140625" style="9" customWidth="1"/>
    <col min="10231" max="10231" width="7.140625" style="9" customWidth="1"/>
    <col min="10232" max="10232" width="7.7109375" style="9" bestFit="1" customWidth="1"/>
    <col min="10233" max="10233" width="7.28515625" style="9" customWidth="1"/>
    <col min="10234" max="10234" width="7" style="9" customWidth="1"/>
    <col min="10235" max="10235" width="7.5703125" style="9" customWidth="1"/>
    <col min="10236" max="10236" width="7.140625" style="9" customWidth="1"/>
    <col min="10237" max="10237" width="7" style="9" customWidth="1"/>
    <col min="10238" max="10238" width="7.5703125" style="9" customWidth="1"/>
    <col min="10239" max="10239" width="7.140625" style="9" customWidth="1"/>
    <col min="10240" max="10256" width="8.7109375" style="9" customWidth="1"/>
    <col min="10257" max="10257" width="36.85546875" style="9" customWidth="1"/>
    <col min="10258" max="10264" width="14.28515625" style="9" customWidth="1"/>
    <col min="10265" max="10479" width="9.140625" style="9"/>
    <col min="10480" max="10480" width="38.5703125" style="9" customWidth="1"/>
    <col min="10481" max="10481" width="6.5703125" style="9" customWidth="1"/>
    <col min="10482" max="10482" width="7.7109375" style="9" bestFit="1" customWidth="1"/>
    <col min="10483" max="10483" width="7.28515625" style="9" customWidth="1"/>
    <col min="10484" max="10484" width="6.5703125" style="9" bestFit="1" customWidth="1"/>
    <col min="10485" max="10485" width="7.28515625" style="9" bestFit="1" customWidth="1"/>
    <col min="10486" max="10486" width="8.140625" style="9" customWidth="1"/>
    <col min="10487" max="10487" width="7.140625" style="9" customWidth="1"/>
    <col min="10488" max="10488" width="7.7109375" style="9" bestFit="1" customWidth="1"/>
    <col min="10489" max="10489" width="7.28515625" style="9" customWidth="1"/>
    <col min="10490" max="10490" width="7" style="9" customWidth="1"/>
    <col min="10491" max="10491" width="7.5703125" style="9" customWidth="1"/>
    <col min="10492" max="10492" width="7.140625" style="9" customWidth="1"/>
    <col min="10493" max="10493" width="7" style="9" customWidth="1"/>
    <col min="10494" max="10494" width="7.5703125" style="9" customWidth="1"/>
    <col min="10495" max="10495" width="7.140625" style="9" customWidth="1"/>
    <col min="10496" max="10512" width="8.7109375" style="9" customWidth="1"/>
    <col min="10513" max="10513" width="36.85546875" style="9" customWidth="1"/>
    <col min="10514" max="10520" width="14.28515625" style="9" customWidth="1"/>
    <col min="10521" max="10735" width="9.140625" style="9"/>
    <col min="10736" max="10736" width="38.5703125" style="9" customWidth="1"/>
    <col min="10737" max="10737" width="6.5703125" style="9" customWidth="1"/>
    <col min="10738" max="10738" width="7.7109375" style="9" bestFit="1" customWidth="1"/>
    <col min="10739" max="10739" width="7.28515625" style="9" customWidth="1"/>
    <col min="10740" max="10740" width="6.5703125" style="9" bestFit="1" customWidth="1"/>
    <col min="10741" max="10741" width="7.28515625" style="9" bestFit="1" customWidth="1"/>
    <col min="10742" max="10742" width="8.140625" style="9" customWidth="1"/>
    <col min="10743" max="10743" width="7.140625" style="9" customWidth="1"/>
    <col min="10744" max="10744" width="7.7109375" style="9" bestFit="1" customWidth="1"/>
    <col min="10745" max="10745" width="7.28515625" style="9" customWidth="1"/>
    <col min="10746" max="10746" width="7" style="9" customWidth="1"/>
    <col min="10747" max="10747" width="7.5703125" style="9" customWidth="1"/>
    <col min="10748" max="10748" width="7.140625" style="9" customWidth="1"/>
    <col min="10749" max="10749" width="7" style="9" customWidth="1"/>
    <col min="10750" max="10750" width="7.5703125" style="9" customWidth="1"/>
    <col min="10751" max="10751" width="7.140625" style="9" customWidth="1"/>
    <col min="10752" max="10768" width="8.7109375" style="9" customWidth="1"/>
    <col min="10769" max="10769" width="36.85546875" style="9" customWidth="1"/>
    <col min="10770" max="10776" width="14.28515625" style="9" customWidth="1"/>
    <col min="10777" max="10991" width="9.140625" style="9"/>
    <col min="10992" max="10992" width="38.5703125" style="9" customWidth="1"/>
    <col min="10993" max="10993" width="6.5703125" style="9" customWidth="1"/>
    <col min="10994" max="10994" width="7.7109375" style="9" bestFit="1" customWidth="1"/>
    <col min="10995" max="10995" width="7.28515625" style="9" customWidth="1"/>
    <col min="10996" max="10996" width="6.5703125" style="9" bestFit="1" customWidth="1"/>
    <col min="10997" max="10997" width="7.28515625" style="9" bestFit="1" customWidth="1"/>
    <col min="10998" max="10998" width="8.140625" style="9" customWidth="1"/>
    <col min="10999" max="10999" width="7.140625" style="9" customWidth="1"/>
    <col min="11000" max="11000" width="7.7109375" style="9" bestFit="1" customWidth="1"/>
    <col min="11001" max="11001" width="7.28515625" style="9" customWidth="1"/>
    <col min="11002" max="11002" width="7" style="9" customWidth="1"/>
    <col min="11003" max="11003" width="7.5703125" style="9" customWidth="1"/>
    <col min="11004" max="11004" width="7.140625" style="9" customWidth="1"/>
    <col min="11005" max="11005" width="7" style="9" customWidth="1"/>
    <col min="11006" max="11006" width="7.5703125" style="9" customWidth="1"/>
    <col min="11007" max="11007" width="7.140625" style="9" customWidth="1"/>
    <col min="11008" max="11024" width="8.7109375" style="9" customWidth="1"/>
    <col min="11025" max="11025" width="36.85546875" style="9" customWidth="1"/>
    <col min="11026" max="11032" width="14.28515625" style="9" customWidth="1"/>
    <col min="11033" max="11247" width="9.140625" style="9"/>
    <col min="11248" max="11248" width="38.5703125" style="9" customWidth="1"/>
    <col min="11249" max="11249" width="6.5703125" style="9" customWidth="1"/>
    <col min="11250" max="11250" width="7.7109375" style="9" bestFit="1" customWidth="1"/>
    <col min="11251" max="11251" width="7.28515625" style="9" customWidth="1"/>
    <col min="11252" max="11252" width="6.5703125" style="9" bestFit="1" customWidth="1"/>
    <col min="11253" max="11253" width="7.28515625" style="9" bestFit="1" customWidth="1"/>
    <col min="11254" max="11254" width="8.140625" style="9" customWidth="1"/>
    <col min="11255" max="11255" width="7.140625" style="9" customWidth="1"/>
    <col min="11256" max="11256" width="7.7109375" style="9" bestFit="1" customWidth="1"/>
    <col min="11257" max="11257" width="7.28515625" style="9" customWidth="1"/>
    <col min="11258" max="11258" width="7" style="9" customWidth="1"/>
    <col min="11259" max="11259" width="7.5703125" style="9" customWidth="1"/>
    <col min="11260" max="11260" width="7.140625" style="9" customWidth="1"/>
    <col min="11261" max="11261" width="7" style="9" customWidth="1"/>
    <col min="11262" max="11262" width="7.5703125" style="9" customWidth="1"/>
    <col min="11263" max="11263" width="7.140625" style="9" customWidth="1"/>
    <col min="11264" max="11280" width="8.7109375" style="9" customWidth="1"/>
    <col min="11281" max="11281" width="36.85546875" style="9" customWidth="1"/>
    <col min="11282" max="11288" width="14.28515625" style="9" customWidth="1"/>
    <col min="11289" max="11503" width="9.140625" style="9"/>
    <col min="11504" max="11504" width="38.5703125" style="9" customWidth="1"/>
    <col min="11505" max="11505" width="6.5703125" style="9" customWidth="1"/>
    <col min="11506" max="11506" width="7.7109375" style="9" bestFit="1" customWidth="1"/>
    <col min="11507" max="11507" width="7.28515625" style="9" customWidth="1"/>
    <col min="11508" max="11508" width="6.5703125" style="9" bestFit="1" customWidth="1"/>
    <col min="11509" max="11509" width="7.28515625" style="9" bestFit="1" customWidth="1"/>
    <col min="11510" max="11510" width="8.140625" style="9" customWidth="1"/>
    <col min="11511" max="11511" width="7.140625" style="9" customWidth="1"/>
    <col min="11512" max="11512" width="7.7109375" style="9" bestFit="1" customWidth="1"/>
    <col min="11513" max="11513" width="7.28515625" style="9" customWidth="1"/>
    <col min="11514" max="11514" width="7" style="9" customWidth="1"/>
    <col min="11515" max="11515" width="7.5703125" style="9" customWidth="1"/>
    <col min="11516" max="11516" width="7.140625" style="9" customWidth="1"/>
    <col min="11517" max="11517" width="7" style="9" customWidth="1"/>
    <col min="11518" max="11518" width="7.5703125" style="9" customWidth="1"/>
    <col min="11519" max="11519" width="7.140625" style="9" customWidth="1"/>
    <col min="11520" max="11536" width="8.7109375" style="9" customWidth="1"/>
    <col min="11537" max="11537" width="36.85546875" style="9" customWidth="1"/>
    <col min="11538" max="11544" width="14.28515625" style="9" customWidth="1"/>
    <col min="11545" max="11759" width="9.140625" style="9"/>
    <col min="11760" max="11760" width="38.5703125" style="9" customWidth="1"/>
    <col min="11761" max="11761" width="6.5703125" style="9" customWidth="1"/>
    <col min="11762" max="11762" width="7.7109375" style="9" bestFit="1" customWidth="1"/>
    <col min="11763" max="11763" width="7.28515625" style="9" customWidth="1"/>
    <col min="11764" max="11764" width="6.5703125" style="9" bestFit="1" customWidth="1"/>
    <col min="11765" max="11765" width="7.28515625" style="9" bestFit="1" customWidth="1"/>
    <col min="11766" max="11766" width="8.140625" style="9" customWidth="1"/>
    <col min="11767" max="11767" width="7.140625" style="9" customWidth="1"/>
    <col min="11768" max="11768" width="7.7109375" style="9" bestFit="1" customWidth="1"/>
    <col min="11769" max="11769" width="7.28515625" style="9" customWidth="1"/>
    <col min="11770" max="11770" width="7" style="9" customWidth="1"/>
    <col min="11771" max="11771" width="7.5703125" style="9" customWidth="1"/>
    <col min="11772" max="11772" width="7.140625" style="9" customWidth="1"/>
    <col min="11773" max="11773" width="7" style="9" customWidth="1"/>
    <col min="11774" max="11774" width="7.5703125" style="9" customWidth="1"/>
    <col min="11775" max="11775" width="7.140625" style="9" customWidth="1"/>
    <col min="11776" max="11792" width="8.7109375" style="9" customWidth="1"/>
    <col min="11793" max="11793" width="36.85546875" style="9" customWidth="1"/>
    <col min="11794" max="11800" width="14.28515625" style="9" customWidth="1"/>
    <col min="11801" max="12015" width="9.140625" style="9"/>
    <col min="12016" max="12016" width="38.5703125" style="9" customWidth="1"/>
    <col min="12017" max="12017" width="6.5703125" style="9" customWidth="1"/>
    <col min="12018" max="12018" width="7.7109375" style="9" bestFit="1" customWidth="1"/>
    <col min="12019" max="12019" width="7.28515625" style="9" customWidth="1"/>
    <col min="12020" max="12020" width="6.5703125" style="9" bestFit="1" customWidth="1"/>
    <col min="12021" max="12021" width="7.28515625" style="9" bestFit="1" customWidth="1"/>
    <col min="12022" max="12022" width="8.140625" style="9" customWidth="1"/>
    <col min="12023" max="12023" width="7.140625" style="9" customWidth="1"/>
    <col min="12024" max="12024" width="7.7109375" style="9" bestFit="1" customWidth="1"/>
    <col min="12025" max="12025" width="7.28515625" style="9" customWidth="1"/>
    <col min="12026" max="12026" width="7" style="9" customWidth="1"/>
    <col min="12027" max="12027" width="7.5703125" style="9" customWidth="1"/>
    <col min="12028" max="12028" width="7.140625" style="9" customWidth="1"/>
    <col min="12029" max="12029" width="7" style="9" customWidth="1"/>
    <col min="12030" max="12030" width="7.5703125" style="9" customWidth="1"/>
    <col min="12031" max="12031" width="7.140625" style="9" customWidth="1"/>
    <col min="12032" max="12048" width="8.7109375" style="9" customWidth="1"/>
    <col min="12049" max="12049" width="36.85546875" style="9" customWidth="1"/>
    <col min="12050" max="12056" width="14.28515625" style="9" customWidth="1"/>
    <col min="12057" max="12271" width="9.140625" style="9"/>
    <col min="12272" max="12272" width="38.5703125" style="9" customWidth="1"/>
    <col min="12273" max="12273" width="6.5703125" style="9" customWidth="1"/>
    <col min="12274" max="12274" width="7.7109375" style="9" bestFit="1" customWidth="1"/>
    <col min="12275" max="12275" width="7.28515625" style="9" customWidth="1"/>
    <col min="12276" max="12276" width="6.5703125" style="9" bestFit="1" customWidth="1"/>
    <col min="12277" max="12277" width="7.28515625" style="9" bestFit="1" customWidth="1"/>
    <col min="12278" max="12278" width="8.140625" style="9" customWidth="1"/>
    <col min="12279" max="12279" width="7.140625" style="9" customWidth="1"/>
    <col min="12280" max="12280" width="7.7109375" style="9" bestFit="1" customWidth="1"/>
    <col min="12281" max="12281" width="7.28515625" style="9" customWidth="1"/>
    <col min="12282" max="12282" width="7" style="9" customWidth="1"/>
    <col min="12283" max="12283" width="7.5703125" style="9" customWidth="1"/>
    <col min="12284" max="12284" width="7.140625" style="9" customWidth="1"/>
    <col min="12285" max="12285" width="7" style="9" customWidth="1"/>
    <col min="12286" max="12286" width="7.5703125" style="9" customWidth="1"/>
    <col min="12287" max="12287" width="7.140625" style="9" customWidth="1"/>
    <col min="12288" max="12304" width="8.7109375" style="9" customWidth="1"/>
    <col min="12305" max="12305" width="36.85546875" style="9" customWidth="1"/>
    <col min="12306" max="12312" width="14.28515625" style="9" customWidth="1"/>
    <col min="12313" max="12527" width="9.140625" style="9"/>
    <col min="12528" max="12528" width="38.5703125" style="9" customWidth="1"/>
    <col min="12529" max="12529" width="6.5703125" style="9" customWidth="1"/>
    <col min="12530" max="12530" width="7.7109375" style="9" bestFit="1" customWidth="1"/>
    <col min="12531" max="12531" width="7.28515625" style="9" customWidth="1"/>
    <col min="12532" max="12532" width="6.5703125" style="9" bestFit="1" customWidth="1"/>
    <col min="12533" max="12533" width="7.28515625" style="9" bestFit="1" customWidth="1"/>
    <col min="12534" max="12534" width="8.140625" style="9" customWidth="1"/>
    <col min="12535" max="12535" width="7.140625" style="9" customWidth="1"/>
    <col min="12536" max="12536" width="7.7109375" style="9" bestFit="1" customWidth="1"/>
    <col min="12537" max="12537" width="7.28515625" style="9" customWidth="1"/>
    <col min="12538" max="12538" width="7" style="9" customWidth="1"/>
    <col min="12539" max="12539" width="7.5703125" style="9" customWidth="1"/>
    <col min="12540" max="12540" width="7.140625" style="9" customWidth="1"/>
    <col min="12541" max="12541" width="7" style="9" customWidth="1"/>
    <col min="12542" max="12542" width="7.5703125" style="9" customWidth="1"/>
    <col min="12543" max="12543" width="7.140625" style="9" customWidth="1"/>
    <col min="12544" max="12560" width="8.7109375" style="9" customWidth="1"/>
    <col min="12561" max="12561" width="36.85546875" style="9" customWidth="1"/>
    <col min="12562" max="12568" width="14.28515625" style="9" customWidth="1"/>
    <col min="12569" max="12783" width="9.140625" style="9"/>
    <col min="12784" max="12784" width="38.5703125" style="9" customWidth="1"/>
    <col min="12785" max="12785" width="6.5703125" style="9" customWidth="1"/>
    <col min="12786" max="12786" width="7.7109375" style="9" bestFit="1" customWidth="1"/>
    <col min="12787" max="12787" width="7.28515625" style="9" customWidth="1"/>
    <col min="12788" max="12788" width="6.5703125" style="9" bestFit="1" customWidth="1"/>
    <col min="12789" max="12789" width="7.28515625" style="9" bestFit="1" customWidth="1"/>
    <col min="12790" max="12790" width="8.140625" style="9" customWidth="1"/>
    <col min="12791" max="12791" width="7.140625" style="9" customWidth="1"/>
    <col min="12792" max="12792" width="7.7109375" style="9" bestFit="1" customWidth="1"/>
    <col min="12793" max="12793" width="7.28515625" style="9" customWidth="1"/>
    <col min="12794" max="12794" width="7" style="9" customWidth="1"/>
    <col min="12795" max="12795" width="7.5703125" style="9" customWidth="1"/>
    <col min="12796" max="12796" width="7.140625" style="9" customWidth="1"/>
    <col min="12797" max="12797" width="7" style="9" customWidth="1"/>
    <col min="12798" max="12798" width="7.5703125" style="9" customWidth="1"/>
    <col min="12799" max="12799" width="7.140625" style="9" customWidth="1"/>
    <col min="12800" max="12816" width="8.7109375" style="9" customWidth="1"/>
    <col min="12817" max="12817" width="36.85546875" style="9" customWidth="1"/>
    <col min="12818" max="12824" width="14.28515625" style="9" customWidth="1"/>
    <col min="12825" max="13039" width="9.140625" style="9"/>
    <col min="13040" max="13040" width="38.5703125" style="9" customWidth="1"/>
    <col min="13041" max="13041" width="6.5703125" style="9" customWidth="1"/>
    <col min="13042" max="13042" width="7.7109375" style="9" bestFit="1" customWidth="1"/>
    <col min="13043" max="13043" width="7.28515625" style="9" customWidth="1"/>
    <col min="13044" max="13044" width="6.5703125" style="9" bestFit="1" customWidth="1"/>
    <col min="13045" max="13045" width="7.28515625" style="9" bestFit="1" customWidth="1"/>
    <col min="13046" max="13046" width="8.140625" style="9" customWidth="1"/>
    <col min="13047" max="13047" width="7.140625" style="9" customWidth="1"/>
    <col min="13048" max="13048" width="7.7109375" style="9" bestFit="1" customWidth="1"/>
    <col min="13049" max="13049" width="7.28515625" style="9" customWidth="1"/>
    <col min="13050" max="13050" width="7" style="9" customWidth="1"/>
    <col min="13051" max="13051" width="7.5703125" style="9" customWidth="1"/>
    <col min="13052" max="13052" width="7.140625" style="9" customWidth="1"/>
    <col min="13053" max="13053" width="7" style="9" customWidth="1"/>
    <col min="13054" max="13054" width="7.5703125" style="9" customWidth="1"/>
    <col min="13055" max="13055" width="7.140625" style="9" customWidth="1"/>
    <col min="13056" max="13072" width="8.7109375" style="9" customWidth="1"/>
    <col min="13073" max="13073" width="36.85546875" style="9" customWidth="1"/>
    <col min="13074" max="13080" width="14.28515625" style="9" customWidth="1"/>
    <col min="13081" max="13295" width="9.140625" style="9"/>
    <col min="13296" max="13296" width="38.5703125" style="9" customWidth="1"/>
    <col min="13297" max="13297" width="6.5703125" style="9" customWidth="1"/>
    <col min="13298" max="13298" width="7.7109375" style="9" bestFit="1" customWidth="1"/>
    <col min="13299" max="13299" width="7.28515625" style="9" customWidth="1"/>
    <col min="13300" max="13300" width="6.5703125" style="9" bestFit="1" customWidth="1"/>
    <col min="13301" max="13301" width="7.28515625" style="9" bestFit="1" customWidth="1"/>
    <col min="13302" max="13302" width="8.140625" style="9" customWidth="1"/>
    <col min="13303" max="13303" width="7.140625" style="9" customWidth="1"/>
    <col min="13304" max="13304" width="7.7109375" style="9" bestFit="1" customWidth="1"/>
    <col min="13305" max="13305" width="7.28515625" style="9" customWidth="1"/>
    <col min="13306" max="13306" width="7" style="9" customWidth="1"/>
    <col min="13307" max="13307" width="7.5703125" style="9" customWidth="1"/>
    <col min="13308" max="13308" width="7.140625" style="9" customWidth="1"/>
    <col min="13309" max="13309" width="7" style="9" customWidth="1"/>
    <col min="13310" max="13310" width="7.5703125" style="9" customWidth="1"/>
    <col min="13311" max="13311" width="7.140625" style="9" customWidth="1"/>
    <col min="13312" max="13328" width="8.7109375" style="9" customWidth="1"/>
    <col min="13329" max="13329" width="36.85546875" style="9" customWidth="1"/>
    <col min="13330" max="13336" width="14.28515625" style="9" customWidth="1"/>
    <col min="13337" max="13551" width="9.140625" style="9"/>
    <col min="13552" max="13552" width="38.5703125" style="9" customWidth="1"/>
    <col min="13553" max="13553" width="6.5703125" style="9" customWidth="1"/>
    <col min="13554" max="13554" width="7.7109375" style="9" bestFit="1" customWidth="1"/>
    <col min="13555" max="13555" width="7.28515625" style="9" customWidth="1"/>
    <col min="13556" max="13556" width="6.5703125" style="9" bestFit="1" customWidth="1"/>
    <col min="13557" max="13557" width="7.28515625" style="9" bestFit="1" customWidth="1"/>
    <col min="13558" max="13558" width="8.140625" style="9" customWidth="1"/>
    <col min="13559" max="13559" width="7.140625" style="9" customWidth="1"/>
    <col min="13560" max="13560" width="7.7109375" style="9" bestFit="1" customWidth="1"/>
    <col min="13561" max="13561" width="7.28515625" style="9" customWidth="1"/>
    <col min="13562" max="13562" width="7" style="9" customWidth="1"/>
    <col min="13563" max="13563" width="7.5703125" style="9" customWidth="1"/>
    <col min="13564" max="13564" width="7.140625" style="9" customWidth="1"/>
    <col min="13565" max="13565" width="7" style="9" customWidth="1"/>
    <col min="13566" max="13566" width="7.5703125" style="9" customWidth="1"/>
    <col min="13567" max="13567" width="7.140625" style="9" customWidth="1"/>
    <col min="13568" max="13584" width="8.7109375" style="9" customWidth="1"/>
    <col min="13585" max="13585" width="36.85546875" style="9" customWidth="1"/>
    <col min="13586" max="13592" width="14.28515625" style="9" customWidth="1"/>
    <col min="13593" max="13807" width="9.140625" style="9"/>
    <col min="13808" max="13808" width="38.5703125" style="9" customWidth="1"/>
    <col min="13809" max="13809" width="6.5703125" style="9" customWidth="1"/>
    <col min="13810" max="13810" width="7.7109375" style="9" bestFit="1" customWidth="1"/>
    <col min="13811" max="13811" width="7.28515625" style="9" customWidth="1"/>
    <col min="13812" max="13812" width="6.5703125" style="9" bestFit="1" customWidth="1"/>
    <col min="13813" max="13813" width="7.28515625" style="9" bestFit="1" customWidth="1"/>
    <col min="13814" max="13814" width="8.140625" style="9" customWidth="1"/>
    <col min="13815" max="13815" width="7.140625" style="9" customWidth="1"/>
    <col min="13816" max="13816" width="7.7109375" style="9" bestFit="1" customWidth="1"/>
    <col min="13817" max="13817" width="7.28515625" style="9" customWidth="1"/>
    <col min="13818" max="13818" width="7" style="9" customWidth="1"/>
    <col min="13819" max="13819" width="7.5703125" style="9" customWidth="1"/>
    <col min="13820" max="13820" width="7.140625" style="9" customWidth="1"/>
    <col min="13821" max="13821" width="7" style="9" customWidth="1"/>
    <col min="13822" max="13822" width="7.5703125" style="9" customWidth="1"/>
    <col min="13823" max="13823" width="7.140625" style="9" customWidth="1"/>
    <col min="13824" max="13840" width="8.7109375" style="9" customWidth="1"/>
    <col min="13841" max="13841" width="36.85546875" style="9" customWidth="1"/>
    <col min="13842" max="13848" width="14.28515625" style="9" customWidth="1"/>
    <col min="13849" max="14063" width="9.140625" style="9"/>
    <col min="14064" max="14064" width="38.5703125" style="9" customWidth="1"/>
    <col min="14065" max="14065" width="6.5703125" style="9" customWidth="1"/>
    <col min="14066" max="14066" width="7.7109375" style="9" bestFit="1" customWidth="1"/>
    <col min="14067" max="14067" width="7.28515625" style="9" customWidth="1"/>
    <col min="14068" max="14068" width="6.5703125" style="9" bestFit="1" customWidth="1"/>
    <col min="14069" max="14069" width="7.28515625" style="9" bestFit="1" customWidth="1"/>
    <col min="14070" max="14070" width="8.140625" style="9" customWidth="1"/>
    <col min="14071" max="14071" width="7.140625" style="9" customWidth="1"/>
    <col min="14072" max="14072" width="7.7109375" style="9" bestFit="1" customWidth="1"/>
    <col min="14073" max="14073" width="7.28515625" style="9" customWidth="1"/>
    <col min="14074" max="14074" width="7" style="9" customWidth="1"/>
    <col min="14075" max="14075" width="7.5703125" style="9" customWidth="1"/>
    <col min="14076" max="14076" width="7.140625" style="9" customWidth="1"/>
    <col min="14077" max="14077" width="7" style="9" customWidth="1"/>
    <col min="14078" max="14078" width="7.5703125" style="9" customWidth="1"/>
    <col min="14079" max="14079" width="7.140625" style="9" customWidth="1"/>
    <col min="14080" max="14096" width="8.7109375" style="9" customWidth="1"/>
    <col min="14097" max="14097" width="36.85546875" style="9" customWidth="1"/>
    <col min="14098" max="14104" width="14.28515625" style="9" customWidth="1"/>
    <col min="14105" max="14319" width="9.140625" style="9"/>
    <col min="14320" max="14320" width="38.5703125" style="9" customWidth="1"/>
    <col min="14321" max="14321" width="6.5703125" style="9" customWidth="1"/>
    <col min="14322" max="14322" width="7.7109375" style="9" bestFit="1" customWidth="1"/>
    <col min="14323" max="14323" width="7.28515625" style="9" customWidth="1"/>
    <col min="14324" max="14324" width="6.5703125" style="9" bestFit="1" customWidth="1"/>
    <col min="14325" max="14325" width="7.28515625" style="9" bestFit="1" customWidth="1"/>
    <col min="14326" max="14326" width="8.140625" style="9" customWidth="1"/>
    <col min="14327" max="14327" width="7.140625" style="9" customWidth="1"/>
    <col min="14328" max="14328" width="7.7109375" style="9" bestFit="1" customWidth="1"/>
    <col min="14329" max="14329" width="7.28515625" style="9" customWidth="1"/>
    <col min="14330" max="14330" width="7" style="9" customWidth="1"/>
    <col min="14331" max="14331" width="7.5703125" style="9" customWidth="1"/>
    <col min="14332" max="14332" width="7.140625" style="9" customWidth="1"/>
    <col min="14333" max="14333" width="7" style="9" customWidth="1"/>
    <col min="14334" max="14334" width="7.5703125" style="9" customWidth="1"/>
    <col min="14335" max="14335" width="7.140625" style="9" customWidth="1"/>
    <col min="14336" max="14352" width="8.7109375" style="9" customWidth="1"/>
    <col min="14353" max="14353" width="36.85546875" style="9" customWidth="1"/>
    <col min="14354" max="14360" width="14.28515625" style="9" customWidth="1"/>
    <col min="14361" max="14575" width="9.140625" style="9"/>
    <col min="14576" max="14576" width="38.5703125" style="9" customWidth="1"/>
    <col min="14577" max="14577" width="6.5703125" style="9" customWidth="1"/>
    <col min="14578" max="14578" width="7.7109375" style="9" bestFit="1" customWidth="1"/>
    <col min="14579" max="14579" width="7.28515625" style="9" customWidth="1"/>
    <col min="14580" max="14580" width="6.5703125" style="9" bestFit="1" customWidth="1"/>
    <col min="14581" max="14581" width="7.28515625" style="9" bestFit="1" customWidth="1"/>
    <col min="14582" max="14582" width="8.140625" style="9" customWidth="1"/>
    <col min="14583" max="14583" width="7.140625" style="9" customWidth="1"/>
    <col min="14584" max="14584" width="7.7109375" style="9" bestFit="1" customWidth="1"/>
    <col min="14585" max="14585" width="7.28515625" style="9" customWidth="1"/>
    <col min="14586" max="14586" width="7" style="9" customWidth="1"/>
    <col min="14587" max="14587" width="7.5703125" style="9" customWidth="1"/>
    <col min="14588" max="14588" width="7.140625" style="9" customWidth="1"/>
    <col min="14589" max="14589" width="7" style="9" customWidth="1"/>
    <col min="14590" max="14590" width="7.5703125" style="9" customWidth="1"/>
    <col min="14591" max="14591" width="7.140625" style="9" customWidth="1"/>
    <col min="14592" max="14608" width="8.7109375" style="9" customWidth="1"/>
    <col min="14609" max="14609" width="36.85546875" style="9" customWidth="1"/>
    <col min="14610" max="14616" width="14.28515625" style="9" customWidth="1"/>
    <col min="14617" max="14831" width="9.140625" style="9"/>
    <col min="14832" max="14832" width="38.5703125" style="9" customWidth="1"/>
    <col min="14833" max="14833" width="6.5703125" style="9" customWidth="1"/>
    <col min="14834" max="14834" width="7.7109375" style="9" bestFit="1" customWidth="1"/>
    <col min="14835" max="14835" width="7.28515625" style="9" customWidth="1"/>
    <col min="14836" max="14836" width="6.5703125" style="9" bestFit="1" customWidth="1"/>
    <col min="14837" max="14837" width="7.28515625" style="9" bestFit="1" customWidth="1"/>
    <col min="14838" max="14838" width="8.140625" style="9" customWidth="1"/>
    <col min="14839" max="14839" width="7.140625" style="9" customWidth="1"/>
    <col min="14840" max="14840" width="7.7109375" style="9" bestFit="1" customWidth="1"/>
    <col min="14841" max="14841" width="7.28515625" style="9" customWidth="1"/>
    <col min="14842" max="14842" width="7" style="9" customWidth="1"/>
    <col min="14843" max="14843" width="7.5703125" style="9" customWidth="1"/>
    <col min="14844" max="14844" width="7.140625" style="9" customWidth="1"/>
    <col min="14845" max="14845" width="7" style="9" customWidth="1"/>
    <col min="14846" max="14846" width="7.5703125" style="9" customWidth="1"/>
    <col min="14847" max="14847" width="7.140625" style="9" customWidth="1"/>
    <col min="14848" max="14864" width="8.7109375" style="9" customWidth="1"/>
    <col min="14865" max="14865" width="36.85546875" style="9" customWidth="1"/>
    <col min="14866" max="14872" width="14.28515625" style="9" customWidth="1"/>
    <col min="14873" max="15087" width="9.140625" style="9"/>
    <col min="15088" max="15088" width="38.5703125" style="9" customWidth="1"/>
    <col min="15089" max="15089" width="6.5703125" style="9" customWidth="1"/>
    <col min="15090" max="15090" width="7.7109375" style="9" bestFit="1" customWidth="1"/>
    <col min="15091" max="15091" width="7.28515625" style="9" customWidth="1"/>
    <col min="15092" max="15092" width="6.5703125" style="9" bestFit="1" customWidth="1"/>
    <col min="15093" max="15093" width="7.28515625" style="9" bestFit="1" customWidth="1"/>
    <col min="15094" max="15094" width="8.140625" style="9" customWidth="1"/>
    <col min="15095" max="15095" width="7.140625" style="9" customWidth="1"/>
    <col min="15096" max="15096" width="7.7109375" style="9" bestFit="1" customWidth="1"/>
    <col min="15097" max="15097" width="7.28515625" style="9" customWidth="1"/>
    <col min="15098" max="15098" width="7" style="9" customWidth="1"/>
    <col min="15099" max="15099" width="7.5703125" style="9" customWidth="1"/>
    <col min="15100" max="15100" width="7.140625" style="9" customWidth="1"/>
    <col min="15101" max="15101" width="7" style="9" customWidth="1"/>
    <col min="15102" max="15102" width="7.5703125" style="9" customWidth="1"/>
    <col min="15103" max="15103" width="7.140625" style="9" customWidth="1"/>
    <col min="15104" max="15120" width="8.7109375" style="9" customWidth="1"/>
    <col min="15121" max="15121" width="36.85546875" style="9" customWidth="1"/>
    <col min="15122" max="15128" width="14.28515625" style="9" customWidth="1"/>
    <col min="15129" max="15343" width="9.140625" style="9"/>
    <col min="15344" max="15344" width="38.5703125" style="9" customWidth="1"/>
    <col min="15345" max="15345" width="6.5703125" style="9" customWidth="1"/>
    <col min="15346" max="15346" width="7.7109375" style="9" bestFit="1" customWidth="1"/>
    <col min="15347" max="15347" width="7.28515625" style="9" customWidth="1"/>
    <col min="15348" max="15348" width="6.5703125" style="9" bestFit="1" customWidth="1"/>
    <col min="15349" max="15349" width="7.28515625" style="9" bestFit="1" customWidth="1"/>
    <col min="15350" max="15350" width="8.140625" style="9" customWidth="1"/>
    <col min="15351" max="15351" width="7.140625" style="9" customWidth="1"/>
    <col min="15352" max="15352" width="7.7109375" style="9" bestFit="1" customWidth="1"/>
    <col min="15353" max="15353" width="7.28515625" style="9" customWidth="1"/>
    <col min="15354" max="15354" width="7" style="9" customWidth="1"/>
    <col min="15355" max="15355" width="7.5703125" style="9" customWidth="1"/>
    <col min="15356" max="15356" width="7.140625" style="9" customWidth="1"/>
    <col min="15357" max="15357" width="7" style="9" customWidth="1"/>
    <col min="15358" max="15358" width="7.5703125" style="9" customWidth="1"/>
    <col min="15359" max="15359" width="7.140625" style="9" customWidth="1"/>
    <col min="15360" max="15376" width="8.7109375" style="9" customWidth="1"/>
    <col min="15377" max="15377" width="36.85546875" style="9" customWidth="1"/>
    <col min="15378" max="15384" width="14.28515625" style="9" customWidth="1"/>
    <col min="15385" max="15599" width="9.140625" style="9"/>
    <col min="15600" max="15600" width="38.5703125" style="9" customWidth="1"/>
    <col min="15601" max="15601" width="6.5703125" style="9" customWidth="1"/>
    <col min="15602" max="15602" width="7.7109375" style="9" bestFit="1" customWidth="1"/>
    <col min="15603" max="15603" width="7.28515625" style="9" customWidth="1"/>
    <col min="15604" max="15604" width="6.5703125" style="9" bestFit="1" customWidth="1"/>
    <col min="15605" max="15605" width="7.28515625" style="9" bestFit="1" customWidth="1"/>
    <col min="15606" max="15606" width="8.140625" style="9" customWidth="1"/>
    <col min="15607" max="15607" width="7.140625" style="9" customWidth="1"/>
    <col min="15608" max="15608" width="7.7109375" style="9" bestFit="1" customWidth="1"/>
    <col min="15609" max="15609" width="7.28515625" style="9" customWidth="1"/>
    <col min="15610" max="15610" width="7" style="9" customWidth="1"/>
    <col min="15611" max="15611" width="7.5703125" style="9" customWidth="1"/>
    <col min="15612" max="15612" width="7.140625" style="9" customWidth="1"/>
    <col min="15613" max="15613" width="7" style="9" customWidth="1"/>
    <col min="15614" max="15614" width="7.5703125" style="9" customWidth="1"/>
    <col min="15615" max="15615" width="7.140625" style="9" customWidth="1"/>
    <col min="15616" max="15632" width="8.7109375" style="9" customWidth="1"/>
    <col min="15633" max="15633" width="36.85546875" style="9" customWidth="1"/>
    <col min="15634" max="15640" width="14.28515625" style="9" customWidth="1"/>
    <col min="15641" max="15855" width="9.140625" style="9"/>
    <col min="15856" max="15856" width="38.5703125" style="9" customWidth="1"/>
    <col min="15857" max="15857" width="6.5703125" style="9" customWidth="1"/>
    <col min="15858" max="15858" width="7.7109375" style="9" bestFit="1" customWidth="1"/>
    <col min="15859" max="15859" width="7.28515625" style="9" customWidth="1"/>
    <col min="15860" max="15860" width="6.5703125" style="9" bestFit="1" customWidth="1"/>
    <col min="15861" max="15861" width="7.28515625" style="9" bestFit="1" customWidth="1"/>
    <col min="15862" max="15862" width="8.140625" style="9" customWidth="1"/>
    <col min="15863" max="15863" width="7.140625" style="9" customWidth="1"/>
    <col min="15864" max="15864" width="7.7109375" style="9" bestFit="1" customWidth="1"/>
    <col min="15865" max="15865" width="7.28515625" style="9" customWidth="1"/>
    <col min="15866" max="15866" width="7" style="9" customWidth="1"/>
    <col min="15867" max="15867" width="7.5703125" style="9" customWidth="1"/>
    <col min="15868" max="15868" width="7.140625" style="9" customWidth="1"/>
    <col min="15869" max="15869" width="7" style="9" customWidth="1"/>
    <col min="15870" max="15870" width="7.5703125" style="9" customWidth="1"/>
    <col min="15871" max="15871" width="7.140625" style="9" customWidth="1"/>
    <col min="15872" max="15888" width="8.7109375" style="9" customWidth="1"/>
    <col min="15889" max="15889" width="36.85546875" style="9" customWidth="1"/>
    <col min="15890" max="15896" width="14.28515625" style="9" customWidth="1"/>
    <col min="15897" max="16111" width="9.140625" style="9"/>
    <col min="16112" max="16112" width="38.5703125" style="9" customWidth="1"/>
    <col min="16113" max="16113" width="6.5703125" style="9" customWidth="1"/>
    <col min="16114" max="16114" width="7.7109375" style="9" bestFit="1" customWidth="1"/>
    <col min="16115" max="16115" width="7.28515625" style="9" customWidth="1"/>
    <col min="16116" max="16116" width="6.5703125" style="9" bestFit="1" customWidth="1"/>
    <col min="16117" max="16117" width="7.28515625" style="9" bestFit="1" customWidth="1"/>
    <col min="16118" max="16118" width="8.140625" style="9" customWidth="1"/>
    <col min="16119" max="16119" width="7.140625" style="9" customWidth="1"/>
    <col min="16120" max="16120" width="7.7109375" style="9" bestFit="1" customWidth="1"/>
    <col min="16121" max="16121" width="7.28515625" style="9" customWidth="1"/>
    <col min="16122" max="16122" width="7" style="9" customWidth="1"/>
    <col min="16123" max="16123" width="7.5703125" style="9" customWidth="1"/>
    <col min="16124" max="16124" width="7.140625" style="9" customWidth="1"/>
    <col min="16125" max="16125" width="7" style="9" customWidth="1"/>
    <col min="16126" max="16126" width="7.5703125" style="9" customWidth="1"/>
    <col min="16127" max="16127" width="7.140625" style="9" customWidth="1"/>
    <col min="16128" max="16144" width="8.7109375" style="9" customWidth="1"/>
    <col min="16145" max="16145" width="36.85546875" style="9" customWidth="1"/>
    <col min="16146" max="16152" width="14.28515625" style="9" customWidth="1"/>
    <col min="16153" max="16384" width="9.140625" style="9"/>
  </cols>
  <sheetData>
    <row r="1" spans="1:31" ht="20.25" customHeight="1">
      <c r="Y1" s="1519" t="s">
        <v>738</v>
      </c>
      <c r="Z1" s="1520"/>
    </row>
    <row r="2" spans="1:31" ht="41.25" customHeight="1">
      <c r="A2" s="1547" t="s">
        <v>1027</v>
      </c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  <c r="N2" s="1547"/>
      <c r="O2" s="1547"/>
      <c r="P2" s="1547"/>
      <c r="Q2" s="1547"/>
      <c r="R2" s="1547"/>
      <c r="S2" s="1547"/>
      <c r="T2" s="1547"/>
      <c r="U2" s="1547"/>
      <c r="V2" s="1547"/>
      <c r="W2" s="1547"/>
      <c r="X2" s="1547"/>
      <c r="Y2" s="1547"/>
      <c r="Z2" s="1547"/>
    </row>
    <row r="3" spans="1:31" s="192" customFormat="1" ht="29.25" customHeight="1">
      <c r="A3" s="187" t="s">
        <v>732</v>
      </c>
      <c r="B3" s="188"/>
      <c r="C3" s="1536" t="s">
        <v>1346</v>
      </c>
      <c r="D3" s="1536"/>
      <c r="E3" s="1536"/>
      <c r="F3" s="1536"/>
      <c r="G3" s="1536"/>
      <c r="H3" s="1536"/>
      <c r="I3" s="1536"/>
      <c r="J3" s="1536"/>
      <c r="K3" s="1536"/>
      <c r="L3" s="1536"/>
      <c r="M3" s="1536"/>
      <c r="N3" s="596"/>
      <c r="Z3" s="598"/>
      <c r="AB3" s="884"/>
      <c r="AC3" s="884"/>
    </row>
    <row r="4" spans="1:31" ht="14.25" customHeight="1">
      <c r="B4" s="234"/>
      <c r="C4" s="16"/>
      <c r="D4" s="16"/>
      <c r="E4" s="16"/>
      <c r="F4" s="16"/>
      <c r="G4" s="16"/>
      <c r="H4" s="16"/>
      <c r="I4" s="16"/>
      <c r="J4" s="9"/>
      <c r="K4" s="9"/>
      <c r="L4" s="9"/>
      <c r="M4" s="9"/>
      <c r="N4" s="9"/>
      <c r="P4" s="595"/>
      <c r="Q4" s="595"/>
      <c r="R4" s="595"/>
      <c r="S4" s="595"/>
      <c r="T4" s="595"/>
      <c r="U4" s="595"/>
      <c r="V4" s="595"/>
      <c r="W4" s="595"/>
      <c r="X4" s="595"/>
      <c r="Y4" s="595"/>
    </row>
    <row r="5" spans="1:31" ht="31.5" customHeight="1">
      <c r="A5" s="1548" t="s">
        <v>740</v>
      </c>
      <c r="B5" s="1549"/>
      <c r="C5" s="1545" t="s">
        <v>1019</v>
      </c>
      <c r="D5" s="1545"/>
      <c r="E5" s="1545"/>
      <c r="F5" s="1545"/>
      <c r="G5" s="1545"/>
      <c r="H5" s="1545"/>
      <c r="I5" s="1545"/>
      <c r="J5" s="1545"/>
      <c r="K5" s="1545"/>
      <c r="L5" s="1545"/>
      <c r="M5" s="1546"/>
      <c r="N5" s="603"/>
      <c r="O5" s="1525" t="s">
        <v>1020</v>
      </c>
      <c r="P5" s="1526"/>
      <c r="Q5" s="1526"/>
      <c r="R5" s="1526"/>
      <c r="S5" s="1526"/>
      <c r="T5" s="1526"/>
      <c r="U5" s="1526"/>
      <c r="V5" s="1526"/>
      <c r="W5" s="1526"/>
      <c r="X5" s="1526"/>
      <c r="Y5" s="1527"/>
      <c r="Z5" s="1539" t="s">
        <v>1021</v>
      </c>
    </row>
    <row r="6" spans="1:31" s="21" customFormat="1" ht="20.100000000000001" customHeight="1">
      <c r="A6" s="1550"/>
      <c r="B6" s="1551"/>
      <c r="C6" s="1542" t="s">
        <v>1214</v>
      </c>
      <c r="D6" s="1542"/>
      <c r="E6" s="1542"/>
      <c r="F6" s="1542"/>
      <c r="G6" s="1542"/>
      <c r="H6" s="1542"/>
      <c r="I6" s="1542"/>
      <c r="J6" s="1542"/>
      <c r="K6" s="1542"/>
      <c r="L6" s="1542"/>
      <c r="M6" s="1543"/>
      <c r="N6" s="604"/>
      <c r="O6" s="1554" t="s">
        <v>1214</v>
      </c>
      <c r="P6" s="1555"/>
      <c r="Q6" s="1555"/>
      <c r="R6" s="1555"/>
      <c r="S6" s="1555"/>
      <c r="T6" s="1555"/>
      <c r="U6" s="1555"/>
      <c r="V6" s="1555"/>
      <c r="W6" s="1555"/>
      <c r="X6" s="1555"/>
      <c r="Y6" s="1556"/>
      <c r="Z6" s="1539"/>
      <c r="AB6" s="885"/>
      <c r="AC6" s="885"/>
    </row>
    <row r="7" spans="1:31" s="21" customFormat="1" ht="30.75" customHeight="1">
      <c r="A7" s="1550"/>
      <c r="B7" s="1551"/>
      <c r="C7" s="1523" t="s">
        <v>997</v>
      </c>
      <c r="D7" s="1523" t="s">
        <v>155</v>
      </c>
      <c r="E7" s="1523"/>
      <c r="F7" s="1523"/>
      <c r="G7" s="1523"/>
      <c r="H7" s="1523"/>
      <c r="I7" s="1524"/>
      <c r="J7" s="1544" t="s">
        <v>998</v>
      </c>
      <c r="K7" s="1523"/>
      <c r="L7" s="1524"/>
      <c r="M7" s="1540" t="s">
        <v>136</v>
      </c>
      <c r="N7" s="604"/>
      <c r="O7" s="1544" t="s">
        <v>997</v>
      </c>
      <c r="P7" s="1523" t="s">
        <v>155</v>
      </c>
      <c r="Q7" s="1523"/>
      <c r="R7" s="1523"/>
      <c r="S7" s="1523"/>
      <c r="T7" s="1523"/>
      <c r="U7" s="1524"/>
      <c r="V7" s="1544" t="s">
        <v>998</v>
      </c>
      <c r="W7" s="1523"/>
      <c r="X7" s="1524"/>
      <c r="Y7" s="1540" t="s">
        <v>136</v>
      </c>
      <c r="Z7" s="1539"/>
      <c r="AB7" s="885"/>
      <c r="AC7" s="885"/>
    </row>
    <row r="8" spans="1:31" s="21" customFormat="1" ht="30" customHeight="1">
      <c r="A8" s="1552"/>
      <c r="B8" s="1553"/>
      <c r="C8" s="597" t="s">
        <v>999</v>
      </c>
      <c r="D8" s="557" t="s">
        <v>1000</v>
      </c>
      <c r="E8" s="557" t="s">
        <v>1001</v>
      </c>
      <c r="F8" s="557" t="s">
        <v>1002</v>
      </c>
      <c r="G8" s="557" t="s">
        <v>1444</v>
      </c>
      <c r="H8" s="557" t="s">
        <v>1406</v>
      </c>
      <c r="I8" s="22" t="s">
        <v>136</v>
      </c>
      <c r="J8" s="558" t="s">
        <v>1004</v>
      </c>
      <c r="K8" s="558" t="s">
        <v>134</v>
      </c>
      <c r="L8" s="22" t="s">
        <v>136</v>
      </c>
      <c r="M8" s="1541"/>
      <c r="N8" s="604"/>
      <c r="O8" s="557" t="s">
        <v>999</v>
      </c>
      <c r="P8" s="557" t="s">
        <v>1000</v>
      </c>
      <c r="Q8" s="557" t="s">
        <v>1001</v>
      </c>
      <c r="R8" s="557" t="s">
        <v>1002</v>
      </c>
      <c r="S8" s="557"/>
      <c r="T8" s="557" t="s">
        <v>1406</v>
      </c>
      <c r="U8" s="22" t="s">
        <v>136</v>
      </c>
      <c r="V8" s="558" t="s">
        <v>1004</v>
      </c>
      <c r="W8" s="558" t="s">
        <v>134</v>
      </c>
      <c r="X8" s="22" t="s">
        <v>136</v>
      </c>
      <c r="Y8" s="1541"/>
      <c r="Z8" s="1539"/>
      <c r="AB8" s="885"/>
      <c r="AC8" s="885"/>
    </row>
    <row r="9" spans="1:31" ht="15" customHeight="1">
      <c r="A9" s="1528" t="s">
        <v>140</v>
      </c>
      <c r="B9" s="1529"/>
      <c r="C9" s="1479"/>
      <c r="D9" s="1479"/>
      <c r="E9" s="1479"/>
      <c r="F9" s="1479"/>
      <c r="G9" s="1479"/>
      <c r="H9" s="1479"/>
      <c r="I9" s="1479"/>
      <c r="J9" s="1479"/>
      <c r="K9" s="1479"/>
      <c r="L9" s="1479"/>
      <c r="M9" s="1480"/>
      <c r="N9" s="604"/>
      <c r="O9" s="1530"/>
      <c r="P9" s="1531"/>
      <c r="Q9" s="1531"/>
      <c r="R9" s="1531"/>
      <c r="S9" s="1531"/>
      <c r="T9" s="1531"/>
      <c r="U9" s="1531"/>
      <c r="V9" s="1531"/>
      <c r="W9" s="1531"/>
      <c r="X9" s="1531"/>
      <c r="Y9" s="1532"/>
      <c r="Z9" s="600"/>
      <c r="AB9" s="883" t="s">
        <v>1444</v>
      </c>
      <c r="AC9" s="883" t="s">
        <v>1496</v>
      </c>
    </row>
    <row r="10" spans="1:31" s="7" customFormat="1" ht="18.95" customHeight="1">
      <c r="A10" s="736">
        <v>1</v>
      </c>
      <c r="B10" s="902" t="s">
        <v>368</v>
      </c>
      <c r="C10" s="569">
        <f>12+4</f>
        <v>16</v>
      </c>
      <c r="D10" s="23">
        <f>12+2</f>
        <v>14</v>
      </c>
      <c r="E10" s="23">
        <v>6</v>
      </c>
      <c r="F10" s="566">
        <v>8</v>
      </c>
      <c r="G10" s="566">
        <f>SUM(C10:F10)</f>
        <v>44</v>
      </c>
      <c r="H10" s="566">
        <f>3+6+2</f>
        <v>11</v>
      </c>
      <c r="I10" s="565">
        <f>C10+E10+H10+D10+F10</f>
        <v>55</v>
      </c>
      <c r="J10" s="569"/>
      <c r="K10" s="566"/>
      <c r="L10" s="565">
        <f>J10+K10</f>
        <v>0</v>
      </c>
      <c r="M10" s="565">
        <f>I10+L10</f>
        <v>55</v>
      </c>
      <c r="N10" s="604"/>
      <c r="O10" s="253"/>
      <c r="P10" s="23"/>
      <c r="Q10" s="23"/>
      <c r="R10" s="566"/>
      <c r="S10" s="933"/>
      <c r="T10" s="933"/>
      <c r="U10" s="565">
        <f>+O10+P10+Q10+R10+T10</f>
        <v>0</v>
      </c>
      <c r="V10" s="569"/>
      <c r="W10" s="566"/>
      <c r="X10" s="565">
        <f>V10+W10</f>
        <v>0</v>
      </c>
      <c r="Y10" s="565">
        <f>U10+X10</f>
        <v>0</v>
      </c>
      <c r="Z10" s="601">
        <f>Y10+M10</f>
        <v>55</v>
      </c>
      <c r="AB10" s="886"/>
      <c r="AC10" s="886"/>
      <c r="AD10" s="7">
        <f>1+3+6+2</f>
        <v>12</v>
      </c>
      <c r="AE10" s="7" t="s">
        <v>1403</v>
      </c>
    </row>
    <row r="11" spans="1:31" s="7" customFormat="1" ht="28.5">
      <c r="A11" s="736">
        <v>2</v>
      </c>
      <c r="B11" s="902" t="s">
        <v>1309</v>
      </c>
      <c r="C11" s="570">
        <f>20+28</f>
        <v>48</v>
      </c>
      <c r="D11" s="238">
        <f>19+26</f>
        <v>45</v>
      </c>
      <c r="E11" s="238">
        <f>19+25</f>
        <v>44</v>
      </c>
      <c r="F11" s="567"/>
      <c r="G11" s="566">
        <f t="shared" ref="G11:G18" si="0">SUM(C11:F11)</f>
        <v>137</v>
      </c>
      <c r="H11" s="567">
        <f>17+24+41</f>
        <v>82</v>
      </c>
      <c r="I11" s="565">
        <f t="shared" ref="I11:I19" si="1">C11+E11+H11+D11+F11</f>
        <v>219</v>
      </c>
      <c r="J11" s="570">
        <f>8+18</f>
        <v>26</v>
      </c>
      <c r="K11" s="567">
        <v>3</v>
      </c>
      <c r="L11" s="565">
        <f>J11+K11</f>
        <v>29</v>
      </c>
      <c r="M11" s="565">
        <f>I11+L11</f>
        <v>248</v>
      </c>
      <c r="N11" s="604"/>
      <c r="O11" s="256">
        <f>22+37</f>
        <v>59</v>
      </c>
      <c r="P11" s="238">
        <f>17+23</f>
        <v>40</v>
      </c>
      <c r="Q11" s="238">
        <f>14+22</f>
        <v>36</v>
      </c>
      <c r="R11" s="567"/>
      <c r="S11" s="933">
        <f>SUM(O11:R11)</f>
        <v>135</v>
      </c>
      <c r="T11" s="933"/>
      <c r="U11" s="565">
        <f t="shared" ref="U11:U19" si="2">+O11+P11+Q11+R11+T11</f>
        <v>135</v>
      </c>
      <c r="V11" s="570"/>
      <c r="W11" s="567"/>
      <c r="X11" s="565">
        <f>V11+W11</f>
        <v>0</v>
      </c>
      <c r="Y11" s="565">
        <f>U11+X11</f>
        <v>135</v>
      </c>
      <c r="Z11" s="601">
        <f>Y11+M11</f>
        <v>383</v>
      </c>
      <c r="AB11" s="886">
        <f>52700*2-500</f>
        <v>104900</v>
      </c>
      <c r="AC11" s="886"/>
    </row>
    <row r="12" spans="1:31" s="7" customFormat="1" ht="18.95" customHeight="1">
      <c r="A12" s="736">
        <v>3</v>
      </c>
      <c r="B12" s="902" t="s">
        <v>380</v>
      </c>
      <c r="C12" s="570">
        <f>27+4</f>
        <v>31</v>
      </c>
      <c r="D12" s="238">
        <f>28+5</f>
        <v>33</v>
      </c>
      <c r="E12" s="238"/>
      <c r="F12" s="567"/>
      <c r="G12" s="566">
        <f t="shared" si="0"/>
        <v>64</v>
      </c>
      <c r="H12" s="567">
        <f>10+4+14</f>
        <v>28</v>
      </c>
      <c r="I12" s="565">
        <f t="shared" si="1"/>
        <v>92</v>
      </c>
      <c r="J12" s="570">
        <f>8+9+4</f>
        <v>21</v>
      </c>
      <c r="K12" s="567">
        <f>1+1+5+10</f>
        <v>17</v>
      </c>
      <c r="L12" s="565">
        <f>J12+K12</f>
        <v>38</v>
      </c>
      <c r="M12" s="565">
        <f>I12+L12</f>
        <v>130</v>
      </c>
      <c r="N12" s="604"/>
      <c r="O12" s="256"/>
      <c r="P12" s="238"/>
      <c r="Q12" s="238"/>
      <c r="R12" s="567"/>
      <c r="S12" s="933"/>
      <c r="T12" s="933"/>
      <c r="U12" s="565">
        <f t="shared" si="2"/>
        <v>0</v>
      </c>
      <c r="V12" s="570"/>
      <c r="W12" s="567"/>
      <c r="X12" s="565">
        <f>V12+W12</f>
        <v>0</v>
      </c>
      <c r="Y12" s="565">
        <f>U12+X12</f>
        <v>0</v>
      </c>
      <c r="Z12" s="601">
        <f>Y12+M12</f>
        <v>130</v>
      </c>
      <c r="AB12" s="886"/>
      <c r="AC12" s="886"/>
    </row>
    <row r="13" spans="1:31" s="7" customFormat="1" ht="18.95" customHeight="1">
      <c r="A13" s="736">
        <v>4</v>
      </c>
      <c r="B13" s="902" t="s">
        <v>1171</v>
      </c>
      <c r="C13" s="570">
        <f>23+16</f>
        <v>39</v>
      </c>
      <c r="D13" s="238">
        <f>34+10</f>
        <v>44</v>
      </c>
      <c r="E13" s="238">
        <f>12+5</f>
        <v>17</v>
      </c>
      <c r="F13" s="567">
        <f>31+6</f>
        <v>37</v>
      </c>
      <c r="G13" s="566">
        <f t="shared" si="0"/>
        <v>137</v>
      </c>
      <c r="H13" s="567">
        <v>80</v>
      </c>
      <c r="I13" s="565">
        <f t="shared" si="1"/>
        <v>217</v>
      </c>
      <c r="J13" s="570">
        <v>7</v>
      </c>
      <c r="K13" s="567">
        <f>12+7</f>
        <v>19</v>
      </c>
      <c r="L13" s="565">
        <f t="shared" ref="L13:L19" si="3">J13+K13</f>
        <v>26</v>
      </c>
      <c r="M13" s="565">
        <f t="shared" ref="M13:M19" si="4">I13+L13</f>
        <v>243</v>
      </c>
      <c r="N13" s="604"/>
      <c r="O13" s="256"/>
      <c r="P13" s="238"/>
      <c r="Q13" s="238"/>
      <c r="R13" s="567"/>
      <c r="S13" s="933"/>
      <c r="T13" s="933"/>
      <c r="U13" s="565">
        <f t="shared" si="2"/>
        <v>0</v>
      </c>
      <c r="V13" s="570"/>
      <c r="W13" s="567"/>
      <c r="X13" s="565">
        <f t="shared" ref="X13:X19" si="5">V13+W13</f>
        <v>0</v>
      </c>
      <c r="Y13" s="565">
        <f t="shared" ref="Y13:Y19" si="6">U13+X13</f>
        <v>0</v>
      </c>
      <c r="Z13" s="601">
        <f t="shared" ref="Z13:Z19" si="7">Y13+M13</f>
        <v>243</v>
      </c>
      <c r="AB13" s="886"/>
      <c r="AC13" s="886"/>
      <c r="AD13" s="7">
        <f>55+25</f>
        <v>80</v>
      </c>
      <c r="AE13" s="7" t="s">
        <v>1347</v>
      </c>
    </row>
    <row r="14" spans="1:31" s="7" customFormat="1" ht="18.95" customHeight="1">
      <c r="A14" s="736">
        <v>5</v>
      </c>
      <c r="B14" s="902" t="s">
        <v>1311</v>
      </c>
      <c r="C14" s="570">
        <f>21+21</f>
        <v>42</v>
      </c>
      <c r="D14" s="238">
        <f>20+16</f>
        <v>36</v>
      </c>
      <c r="E14" s="238">
        <f>7+5</f>
        <v>12</v>
      </c>
      <c r="F14" s="567"/>
      <c r="G14" s="566">
        <f t="shared" si="0"/>
        <v>90</v>
      </c>
      <c r="H14" s="567">
        <f>30+89</f>
        <v>119</v>
      </c>
      <c r="I14" s="565">
        <f t="shared" si="1"/>
        <v>209</v>
      </c>
      <c r="J14" s="570">
        <f>2+3+13+5</f>
        <v>23</v>
      </c>
      <c r="K14" s="567">
        <f>3+4</f>
        <v>7</v>
      </c>
      <c r="L14" s="565">
        <f t="shared" si="3"/>
        <v>30</v>
      </c>
      <c r="M14" s="565">
        <f t="shared" si="4"/>
        <v>239</v>
      </c>
      <c r="N14" s="604"/>
      <c r="O14" s="256"/>
      <c r="P14" s="238"/>
      <c r="Q14" s="238"/>
      <c r="R14" s="567"/>
      <c r="S14" s="933"/>
      <c r="T14" s="933"/>
      <c r="U14" s="565">
        <f t="shared" si="2"/>
        <v>0</v>
      </c>
      <c r="V14" s="570"/>
      <c r="W14" s="567"/>
      <c r="X14" s="565">
        <f t="shared" si="5"/>
        <v>0</v>
      </c>
      <c r="Y14" s="565">
        <f t="shared" si="6"/>
        <v>0</v>
      </c>
      <c r="Z14" s="601">
        <f t="shared" si="7"/>
        <v>239</v>
      </c>
      <c r="AB14" s="886"/>
      <c r="AC14" s="886"/>
      <c r="AD14" s="7">
        <f>30+89</f>
        <v>119</v>
      </c>
      <c r="AE14" s="7" t="s">
        <v>1347</v>
      </c>
    </row>
    <row r="15" spans="1:31" s="7" customFormat="1" ht="18.95" customHeight="1">
      <c r="A15" s="736">
        <v>6</v>
      </c>
      <c r="B15" s="902" t="s">
        <v>403</v>
      </c>
      <c r="C15" s="570"/>
      <c r="D15" s="238"/>
      <c r="E15" s="238"/>
      <c r="F15" s="567"/>
      <c r="G15" s="566">
        <f t="shared" si="0"/>
        <v>0</v>
      </c>
      <c r="H15" s="567">
        <v>29</v>
      </c>
      <c r="I15" s="565">
        <f t="shared" si="1"/>
        <v>29</v>
      </c>
      <c r="J15" s="570">
        <v>36</v>
      </c>
      <c r="K15" s="567">
        <v>19</v>
      </c>
      <c r="L15" s="565">
        <f t="shared" si="3"/>
        <v>55</v>
      </c>
      <c r="M15" s="565">
        <f t="shared" si="4"/>
        <v>84</v>
      </c>
      <c r="N15" s="604"/>
      <c r="O15" s="256"/>
      <c r="P15" s="238"/>
      <c r="Q15" s="238"/>
      <c r="R15" s="567"/>
      <c r="S15" s="933"/>
      <c r="T15" s="933"/>
      <c r="U15" s="565">
        <f t="shared" si="2"/>
        <v>0</v>
      </c>
      <c r="V15" s="570"/>
      <c r="W15" s="567"/>
      <c r="X15" s="565">
        <f t="shared" si="5"/>
        <v>0</v>
      </c>
      <c r="Y15" s="565">
        <f t="shared" si="6"/>
        <v>0</v>
      </c>
      <c r="Z15" s="601">
        <f t="shared" si="7"/>
        <v>84</v>
      </c>
      <c r="AB15" s="886"/>
      <c r="AC15" s="886"/>
    </row>
    <row r="16" spans="1:31" s="7" customFormat="1" ht="18.95" customHeight="1">
      <c r="A16" s="736">
        <v>7</v>
      </c>
      <c r="B16" s="902" t="s">
        <v>421</v>
      </c>
      <c r="C16" s="570"/>
      <c r="D16" s="238"/>
      <c r="E16" s="238"/>
      <c r="F16" s="567"/>
      <c r="G16" s="566">
        <f t="shared" si="0"/>
        <v>0</v>
      </c>
      <c r="H16" s="567">
        <v>4</v>
      </c>
      <c r="I16" s="565">
        <f t="shared" si="1"/>
        <v>4</v>
      </c>
      <c r="J16" s="570">
        <v>6</v>
      </c>
      <c r="K16" s="567">
        <v>4</v>
      </c>
      <c r="L16" s="565">
        <f t="shared" si="3"/>
        <v>10</v>
      </c>
      <c r="M16" s="565">
        <f t="shared" si="4"/>
        <v>14</v>
      </c>
      <c r="N16" s="604"/>
      <c r="O16" s="256"/>
      <c r="P16" s="238"/>
      <c r="Q16" s="238"/>
      <c r="R16" s="567"/>
      <c r="S16" s="933"/>
      <c r="T16" s="933"/>
      <c r="U16" s="565">
        <f t="shared" si="2"/>
        <v>0</v>
      </c>
      <c r="V16" s="570"/>
      <c r="W16" s="567"/>
      <c r="X16" s="565">
        <f t="shared" si="5"/>
        <v>0</v>
      </c>
      <c r="Y16" s="565">
        <f t="shared" si="6"/>
        <v>0</v>
      </c>
      <c r="Z16" s="601">
        <f t="shared" si="7"/>
        <v>14</v>
      </c>
      <c r="AB16" s="886"/>
      <c r="AC16" s="886"/>
      <c r="AD16" s="7">
        <v>4</v>
      </c>
      <c r="AE16" s="7" t="s">
        <v>1347</v>
      </c>
    </row>
    <row r="17" spans="1:35" s="7" customFormat="1" ht="18.95" customHeight="1">
      <c r="A17" s="736">
        <v>8</v>
      </c>
      <c r="B17" s="902" t="s">
        <v>419</v>
      </c>
      <c r="C17" s="570"/>
      <c r="D17" s="238"/>
      <c r="E17" s="238"/>
      <c r="F17" s="567"/>
      <c r="G17" s="566">
        <f t="shared" si="0"/>
        <v>0</v>
      </c>
      <c r="H17" s="567">
        <v>28</v>
      </c>
      <c r="I17" s="565">
        <f t="shared" si="1"/>
        <v>28</v>
      </c>
      <c r="J17" s="570">
        <f>17+6</f>
        <v>23</v>
      </c>
      <c r="K17" s="567">
        <f>28+3</f>
        <v>31</v>
      </c>
      <c r="L17" s="565">
        <f>J17+K17</f>
        <v>54</v>
      </c>
      <c r="M17" s="565">
        <f>I17+L17</f>
        <v>82</v>
      </c>
      <c r="N17" s="604"/>
      <c r="O17" s="256"/>
      <c r="P17" s="238"/>
      <c r="Q17" s="238"/>
      <c r="R17" s="567"/>
      <c r="S17" s="933"/>
      <c r="T17" s="933"/>
      <c r="U17" s="565">
        <f t="shared" si="2"/>
        <v>0</v>
      </c>
      <c r="V17" s="570"/>
      <c r="W17" s="567"/>
      <c r="X17" s="565">
        <f>V17+W17</f>
        <v>0</v>
      </c>
      <c r="Y17" s="565">
        <f>U17+X17</f>
        <v>0</v>
      </c>
      <c r="Z17" s="601">
        <f>Y17+M17</f>
        <v>82</v>
      </c>
      <c r="AB17" s="886"/>
      <c r="AC17" s="886"/>
    </row>
    <row r="18" spans="1:35" s="7" customFormat="1" ht="18.95" customHeight="1">
      <c r="A18" s="736">
        <v>9</v>
      </c>
      <c r="B18" s="902" t="s">
        <v>1407</v>
      </c>
      <c r="C18" s="570"/>
      <c r="D18" s="238"/>
      <c r="E18" s="238"/>
      <c r="F18" s="567"/>
      <c r="G18" s="566">
        <f t="shared" si="0"/>
        <v>0</v>
      </c>
      <c r="H18" s="567"/>
      <c r="I18" s="565">
        <f t="shared" si="1"/>
        <v>0</v>
      </c>
      <c r="J18" s="570">
        <f>18+2</f>
        <v>20</v>
      </c>
      <c r="K18" s="567">
        <v>7</v>
      </c>
      <c r="L18" s="565">
        <f>J18+K18</f>
        <v>27</v>
      </c>
      <c r="M18" s="565">
        <f>I18+L18</f>
        <v>27</v>
      </c>
      <c r="N18" s="604"/>
      <c r="O18" s="256"/>
      <c r="P18" s="238"/>
      <c r="Q18" s="238"/>
      <c r="R18" s="567"/>
      <c r="S18" s="933"/>
      <c r="T18" s="933"/>
      <c r="U18" s="565">
        <f t="shared" si="2"/>
        <v>0</v>
      </c>
      <c r="V18" s="570"/>
      <c r="W18" s="567"/>
      <c r="X18" s="565">
        <f>V18+W18</f>
        <v>0</v>
      </c>
      <c r="Y18" s="565">
        <f>U18+X18</f>
        <v>0</v>
      </c>
      <c r="Z18" s="601">
        <f>Y18+M18</f>
        <v>27</v>
      </c>
      <c r="AB18" s="886"/>
      <c r="AC18" s="886"/>
    </row>
    <row r="19" spans="1:35" s="7" customFormat="1" ht="18.95" customHeight="1">
      <c r="A19" s="736">
        <v>10</v>
      </c>
      <c r="B19" s="902" t="s">
        <v>394</v>
      </c>
      <c r="C19" s="570"/>
      <c r="D19" s="238"/>
      <c r="E19" s="238"/>
      <c r="F19" s="567"/>
      <c r="G19" s="567"/>
      <c r="H19" s="567"/>
      <c r="I19" s="565">
        <f t="shared" si="1"/>
        <v>0</v>
      </c>
      <c r="J19" s="570"/>
      <c r="K19" s="567">
        <v>14</v>
      </c>
      <c r="L19" s="565">
        <f t="shared" si="3"/>
        <v>14</v>
      </c>
      <c r="M19" s="565">
        <f t="shared" si="4"/>
        <v>14</v>
      </c>
      <c r="N19" s="604"/>
      <c r="O19" s="256"/>
      <c r="P19" s="238"/>
      <c r="Q19" s="238"/>
      <c r="R19" s="567"/>
      <c r="S19" s="933"/>
      <c r="T19" s="933"/>
      <c r="U19" s="565">
        <f t="shared" si="2"/>
        <v>0</v>
      </c>
      <c r="V19" s="570"/>
      <c r="W19" s="567"/>
      <c r="X19" s="565">
        <f t="shared" si="5"/>
        <v>0</v>
      </c>
      <c r="Y19" s="565">
        <f t="shared" si="6"/>
        <v>0</v>
      </c>
      <c r="Z19" s="601">
        <f t="shared" si="7"/>
        <v>14</v>
      </c>
      <c r="AB19" s="886"/>
      <c r="AC19" s="886"/>
    </row>
    <row r="20" spans="1:35" ht="20.100000000000001" customHeight="1">
      <c r="A20" s="1521" t="s">
        <v>752</v>
      </c>
      <c r="B20" s="1522"/>
      <c r="C20" s="856">
        <f>SUM(C10:C19)</f>
        <v>176</v>
      </c>
      <c r="D20" s="856">
        <f t="shared" ref="D20:Z20" si="8">SUM(D10:D19)</f>
        <v>172</v>
      </c>
      <c r="E20" s="856">
        <f t="shared" si="8"/>
        <v>79</v>
      </c>
      <c r="F20" s="856">
        <f t="shared" si="8"/>
        <v>45</v>
      </c>
      <c r="G20" s="856">
        <f t="shared" si="8"/>
        <v>472</v>
      </c>
      <c r="H20" s="856">
        <f t="shared" si="8"/>
        <v>381</v>
      </c>
      <c r="I20" s="856">
        <f t="shared" si="8"/>
        <v>853</v>
      </c>
      <c r="J20" s="856">
        <f t="shared" si="8"/>
        <v>162</v>
      </c>
      <c r="K20" s="856">
        <f t="shared" si="8"/>
        <v>121</v>
      </c>
      <c r="L20" s="856">
        <f t="shared" si="8"/>
        <v>283</v>
      </c>
      <c r="M20" s="856">
        <f>+L20+I20</f>
        <v>1136</v>
      </c>
      <c r="N20" s="856">
        <f t="shared" si="8"/>
        <v>0</v>
      </c>
      <c r="O20" s="856">
        <f t="shared" si="8"/>
        <v>59</v>
      </c>
      <c r="P20" s="856">
        <f t="shared" si="8"/>
        <v>40</v>
      </c>
      <c r="Q20" s="856">
        <f t="shared" si="8"/>
        <v>36</v>
      </c>
      <c r="R20" s="932">
        <f t="shared" si="8"/>
        <v>0</v>
      </c>
      <c r="S20" s="856"/>
      <c r="T20" s="856">
        <f t="shared" si="8"/>
        <v>0</v>
      </c>
      <c r="U20" s="856">
        <f t="shared" si="8"/>
        <v>135</v>
      </c>
      <c r="V20" s="856">
        <f t="shared" si="8"/>
        <v>0</v>
      </c>
      <c r="W20" s="856">
        <f t="shared" si="8"/>
        <v>0</v>
      </c>
      <c r="X20" s="856">
        <f t="shared" si="8"/>
        <v>0</v>
      </c>
      <c r="Y20" s="856">
        <f t="shared" si="8"/>
        <v>135</v>
      </c>
      <c r="Z20" s="856">
        <f t="shared" si="8"/>
        <v>1271</v>
      </c>
      <c r="AI20" s="883">
        <f>+Y20+M20-Z20</f>
        <v>0</v>
      </c>
    </row>
    <row r="21" spans="1:35" ht="15" customHeight="1">
      <c r="A21" s="1478" t="s">
        <v>145</v>
      </c>
      <c r="B21" s="1479"/>
      <c r="C21" s="1479"/>
      <c r="D21" s="1479"/>
      <c r="E21" s="1479"/>
      <c r="F21" s="1479"/>
      <c r="G21" s="1479"/>
      <c r="H21" s="1479"/>
      <c r="I21" s="1479"/>
      <c r="J21" s="1479"/>
      <c r="K21" s="1479"/>
      <c r="L21" s="1479"/>
      <c r="M21" s="1480"/>
      <c r="N21" s="604"/>
      <c r="O21" s="1533"/>
      <c r="P21" s="1534"/>
      <c r="Q21" s="1534"/>
      <c r="R21" s="1534"/>
      <c r="S21" s="1534"/>
      <c r="T21" s="1534"/>
      <c r="U21" s="1534"/>
      <c r="V21" s="1534"/>
      <c r="W21" s="1534"/>
      <c r="X21" s="1534"/>
      <c r="Y21" s="1535"/>
      <c r="Z21" s="600"/>
      <c r="AI21" s="883">
        <f t="shared" ref="AI21:AI84" si="9">+Y21+M21-Z21</f>
        <v>0</v>
      </c>
    </row>
    <row r="22" spans="1:35" s="7" customFormat="1" ht="18.95" customHeight="1">
      <c r="A22" s="908">
        <v>1</v>
      </c>
      <c r="B22" s="904" t="s">
        <v>1315</v>
      </c>
      <c r="C22" s="271">
        <f>9+22</f>
        <v>31</v>
      </c>
      <c r="D22" s="271">
        <f>7+28</f>
        <v>35</v>
      </c>
      <c r="E22" s="271">
        <f>7+21</f>
        <v>28</v>
      </c>
      <c r="F22" s="738">
        <f>3+16</f>
        <v>19</v>
      </c>
      <c r="G22" s="738">
        <f>SUM(C22:F22)</f>
        <v>113</v>
      </c>
      <c r="H22" s="738"/>
      <c r="I22" s="565">
        <f t="shared" ref="I22:I30" si="10">C22+E22+H22+D22+F22</f>
        <v>113</v>
      </c>
      <c r="J22" s="569">
        <f>3+9</f>
        <v>12</v>
      </c>
      <c r="K22" s="566">
        <v>10</v>
      </c>
      <c r="L22" s="565">
        <f t="shared" ref="L22:L30" si="11">J22+K22</f>
        <v>22</v>
      </c>
      <c r="M22" s="565">
        <f t="shared" ref="M22:M30" si="12">I22+L22</f>
        <v>135</v>
      </c>
      <c r="N22" s="604"/>
      <c r="O22" s="253"/>
      <c r="P22" s="23"/>
      <c r="Q22" s="566"/>
      <c r="R22" s="933"/>
      <c r="S22" s="933"/>
      <c r="T22" s="933"/>
      <c r="U22" s="565">
        <f t="shared" ref="U22:U35" si="13">+O22+P22+Q22+R22+T22</f>
        <v>0</v>
      </c>
      <c r="V22" s="569"/>
      <c r="W22" s="566"/>
      <c r="X22" s="565">
        <f t="shared" ref="X22:X30" si="14">V22+W22</f>
        <v>0</v>
      </c>
      <c r="Y22" s="565">
        <f t="shared" ref="Y22:Y30" si="15">U22+X22</f>
        <v>0</v>
      </c>
      <c r="Z22" s="601">
        <f t="shared" ref="Z22:Z30" si="16">Y22+M22</f>
        <v>135</v>
      </c>
      <c r="AB22" s="886"/>
      <c r="AC22" s="886"/>
      <c r="AI22" s="883">
        <f t="shared" si="9"/>
        <v>0</v>
      </c>
    </row>
    <row r="23" spans="1:35" s="7" customFormat="1" ht="18.95" customHeight="1">
      <c r="A23" s="908">
        <v>2</v>
      </c>
      <c r="B23" s="904" t="s">
        <v>383</v>
      </c>
      <c r="C23" s="271">
        <f>37+33</f>
        <v>70</v>
      </c>
      <c r="D23" s="271">
        <f>44+23</f>
        <v>67</v>
      </c>
      <c r="E23" s="271">
        <f>38+8</f>
        <v>46</v>
      </c>
      <c r="F23" s="738">
        <f>29+13</f>
        <v>42</v>
      </c>
      <c r="G23" s="738">
        <f t="shared" ref="G23:G34" si="17">SUM(C23:F23)</f>
        <v>225</v>
      </c>
      <c r="H23" s="738">
        <f>89+32</f>
        <v>121</v>
      </c>
      <c r="I23" s="565">
        <f t="shared" si="10"/>
        <v>346</v>
      </c>
      <c r="J23" s="569">
        <v>22</v>
      </c>
      <c r="K23" s="566">
        <v>12</v>
      </c>
      <c r="L23" s="565">
        <f t="shared" si="11"/>
        <v>34</v>
      </c>
      <c r="M23" s="565">
        <f t="shared" si="12"/>
        <v>380</v>
      </c>
      <c r="N23" s="604"/>
      <c r="O23" s="253">
        <f>49+21</f>
        <v>70</v>
      </c>
      <c r="P23" s="23">
        <f>49+13</f>
        <v>62</v>
      </c>
      <c r="Q23" s="566">
        <f>41+10</f>
        <v>51</v>
      </c>
      <c r="R23" s="933">
        <f>39+7</f>
        <v>46</v>
      </c>
      <c r="S23" s="933">
        <f>SUM(O23:R23)</f>
        <v>229</v>
      </c>
      <c r="T23" s="933"/>
      <c r="U23" s="565">
        <f t="shared" si="13"/>
        <v>229</v>
      </c>
      <c r="V23" s="569"/>
      <c r="W23" s="566"/>
      <c r="X23" s="565">
        <f t="shared" si="14"/>
        <v>0</v>
      </c>
      <c r="Y23" s="565">
        <f t="shared" si="15"/>
        <v>229</v>
      </c>
      <c r="Z23" s="601">
        <f t="shared" si="16"/>
        <v>609</v>
      </c>
      <c r="AB23" s="886">
        <f>41700*2-500</f>
        <v>82900</v>
      </c>
      <c r="AC23" s="886"/>
      <c r="AI23" s="883">
        <f t="shared" si="9"/>
        <v>0</v>
      </c>
    </row>
    <row r="24" spans="1:35" s="7" customFormat="1" ht="18.95" customHeight="1">
      <c r="A24" s="908">
        <v>3</v>
      </c>
      <c r="B24" s="904" t="s">
        <v>379</v>
      </c>
      <c r="C24" s="271">
        <f>17+15</f>
        <v>32</v>
      </c>
      <c r="D24" s="271">
        <f>6+9</f>
        <v>15</v>
      </c>
      <c r="E24" s="271">
        <f>6+4</f>
        <v>10</v>
      </c>
      <c r="F24" s="738">
        <f>3+8</f>
        <v>11</v>
      </c>
      <c r="G24" s="738">
        <f t="shared" si="17"/>
        <v>68</v>
      </c>
      <c r="H24" s="738">
        <f>1+15</f>
        <v>16</v>
      </c>
      <c r="I24" s="565">
        <f t="shared" si="10"/>
        <v>84</v>
      </c>
      <c r="J24" s="569">
        <v>8</v>
      </c>
      <c r="K24" s="566"/>
      <c r="L24" s="565">
        <f t="shared" si="11"/>
        <v>8</v>
      </c>
      <c r="M24" s="565">
        <f t="shared" si="12"/>
        <v>92</v>
      </c>
      <c r="N24" s="604"/>
      <c r="O24" s="253"/>
      <c r="P24" s="23"/>
      <c r="Q24" s="566"/>
      <c r="R24" s="933">
        <f>4+1</f>
        <v>5</v>
      </c>
      <c r="S24" s="933">
        <f>SUM(O24:R24)</f>
        <v>5</v>
      </c>
      <c r="T24" s="933"/>
      <c r="U24" s="565">
        <f t="shared" si="13"/>
        <v>5</v>
      </c>
      <c r="V24" s="569"/>
      <c r="W24" s="566"/>
      <c r="X24" s="565">
        <f t="shared" si="14"/>
        <v>0</v>
      </c>
      <c r="Y24" s="565">
        <f t="shared" si="15"/>
        <v>5</v>
      </c>
      <c r="Z24" s="601">
        <f t="shared" si="16"/>
        <v>97</v>
      </c>
      <c r="AB24" s="886">
        <f>41700*2-500</f>
        <v>82900</v>
      </c>
      <c r="AC24" s="886"/>
      <c r="AE24" s="7">
        <v>1</v>
      </c>
      <c r="AF24" s="7" t="s">
        <v>1347</v>
      </c>
      <c r="AI24" s="883">
        <f t="shared" si="9"/>
        <v>0</v>
      </c>
    </row>
    <row r="25" spans="1:35" s="7" customFormat="1" ht="18.95" customHeight="1">
      <c r="A25" s="908">
        <v>4</v>
      </c>
      <c r="B25" s="904" t="s">
        <v>390</v>
      </c>
      <c r="C25" s="569">
        <f>27+18</f>
        <v>45</v>
      </c>
      <c r="D25" s="23">
        <f>43+8</f>
        <v>51</v>
      </c>
      <c r="E25" s="23">
        <f>41+7</f>
        <v>48</v>
      </c>
      <c r="F25" s="566">
        <f>30+13</f>
        <v>43</v>
      </c>
      <c r="G25" s="738">
        <f t="shared" si="17"/>
        <v>187</v>
      </c>
      <c r="H25" s="566">
        <f>66*2</f>
        <v>132</v>
      </c>
      <c r="I25" s="565">
        <f t="shared" si="10"/>
        <v>319</v>
      </c>
      <c r="J25" s="569">
        <f>59+31</f>
        <v>90</v>
      </c>
      <c r="K25" s="566"/>
      <c r="L25" s="565">
        <f>J25+K25</f>
        <v>90</v>
      </c>
      <c r="M25" s="565">
        <f>I25+L25</f>
        <v>409</v>
      </c>
      <c r="N25" s="604"/>
      <c r="O25" s="253">
        <f>6+6</f>
        <v>12</v>
      </c>
      <c r="P25" s="23">
        <f>103+29</f>
        <v>132</v>
      </c>
      <c r="Q25" s="566">
        <f>95+22</f>
        <v>117</v>
      </c>
      <c r="R25" s="933">
        <f>31+4</f>
        <v>35</v>
      </c>
      <c r="S25" s="933">
        <f>SUM(O25:R25)</f>
        <v>296</v>
      </c>
      <c r="T25" s="933">
        <f>36*2</f>
        <v>72</v>
      </c>
      <c r="U25" s="565">
        <f t="shared" si="13"/>
        <v>368</v>
      </c>
      <c r="V25" s="569"/>
      <c r="W25" s="566"/>
      <c r="X25" s="565">
        <f>V25+W25</f>
        <v>0</v>
      </c>
      <c r="Y25" s="565">
        <f>U25+X25</f>
        <v>368</v>
      </c>
      <c r="Z25" s="601">
        <f>Y25+M25</f>
        <v>777</v>
      </c>
      <c r="AB25" s="886">
        <f>41700*2-500</f>
        <v>82900</v>
      </c>
      <c r="AC25" s="886">
        <v>81500</v>
      </c>
      <c r="AI25" s="883">
        <f t="shared" si="9"/>
        <v>0</v>
      </c>
    </row>
    <row r="26" spans="1:35" s="7" customFormat="1" ht="18.95" customHeight="1">
      <c r="A26" s="908">
        <v>5</v>
      </c>
      <c r="B26" s="904" t="s">
        <v>391</v>
      </c>
      <c r="C26" s="271">
        <f>5+55</f>
        <v>60</v>
      </c>
      <c r="D26" s="271">
        <f>5+48</f>
        <v>53</v>
      </c>
      <c r="E26" s="271">
        <f>11+35</f>
        <v>46</v>
      </c>
      <c r="F26" s="738">
        <f>9+27</f>
        <v>36</v>
      </c>
      <c r="G26" s="738">
        <f t="shared" si="17"/>
        <v>195</v>
      </c>
      <c r="H26" s="738">
        <f>54+1</f>
        <v>55</v>
      </c>
      <c r="I26" s="565">
        <f t="shared" si="10"/>
        <v>250</v>
      </c>
      <c r="J26" s="569">
        <f>4+13+3+12</f>
        <v>32</v>
      </c>
      <c r="K26" s="566">
        <f>5+2</f>
        <v>7</v>
      </c>
      <c r="L26" s="565">
        <f t="shared" si="11"/>
        <v>39</v>
      </c>
      <c r="M26" s="565">
        <f t="shared" si="12"/>
        <v>289</v>
      </c>
      <c r="N26" s="604"/>
      <c r="O26" s="253"/>
      <c r="P26" s="23"/>
      <c r="Q26" s="566"/>
      <c r="R26" s="933"/>
      <c r="S26" s="933">
        <f t="shared" ref="S26:S34" si="18">SUM(O26:R26)</f>
        <v>0</v>
      </c>
      <c r="T26" s="933"/>
      <c r="U26" s="565">
        <f t="shared" si="13"/>
        <v>0</v>
      </c>
      <c r="V26" s="569"/>
      <c r="W26" s="566"/>
      <c r="X26" s="565">
        <f t="shared" si="14"/>
        <v>0</v>
      </c>
      <c r="Y26" s="565">
        <f t="shared" si="15"/>
        <v>0</v>
      </c>
      <c r="Z26" s="601">
        <f t="shared" si="16"/>
        <v>289</v>
      </c>
      <c r="AB26" s="886"/>
      <c r="AC26" s="886"/>
      <c r="AI26" s="883">
        <f t="shared" si="9"/>
        <v>0</v>
      </c>
    </row>
    <row r="27" spans="1:35" s="7" customFormat="1" ht="18.95" customHeight="1">
      <c r="A27" s="908">
        <v>6</v>
      </c>
      <c r="B27" s="904" t="s">
        <v>1122</v>
      </c>
      <c r="C27" s="271">
        <f>13+3</f>
        <v>16</v>
      </c>
      <c r="D27" s="271">
        <f>21+4</f>
        <v>25</v>
      </c>
      <c r="E27" s="271"/>
      <c r="F27" s="738"/>
      <c r="G27" s="738">
        <f t="shared" si="17"/>
        <v>41</v>
      </c>
      <c r="H27" s="738">
        <f>5+5</f>
        <v>10</v>
      </c>
      <c r="I27" s="565">
        <f t="shared" si="10"/>
        <v>51</v>
      </c>
      <c r="J27" s="569">
        <v>2</v>
      </c>
      <c r="K27" s="566"/>
      <c r="L27" s="565">
        <f t="shared" si="11"/>
        <v>2</v>
      </c>
      <c r="M27" s="565">
        <f t="shared" si="12"/>
        <v>53</v>
      </c>
      <c r="N27" s="604"/>
      <c r="O27" s="253"/>
      <c r="P27" s="23"/>
      <c r="Q27" s="566"/>
      <c r="R27" s="933"/>
      <c r="S27" s="933">
        <f t="shared" si="18"/>
        <v>0</v>
      </c>
      <c r="T27" s="933"/>
      <c r="U27" s="565">
        <f t="shared" si="13"/>
        <v>0</v>
      </c>
      <c r="V27" s="569"/>
      <c r="W27" s="566"/>
      <c r="X27" s="565">
        <f t="shared" si="14"/>
        <v>0</v>
      </c>
      <c r="Y27" s="565">
        <f t="shared" si="15"/>
        <v>0</v>
      </c>
      <c r="Z27" s="601">
        <f t="shared" si="16"/>
        <v>53</v>
      </c>
      <c r="AB27" s="886"/>
      <c r="AC27" s="886"/>
      <c r="AE27" s="7">
        <v>5</v>
      </c>
      <c r="AF27" s="7" t="s">
        <v>1347</v>
      </c>
      <c r="AI27" s="883">
        <f t="shared" si="9"/>
        <v>0</v>
      </c>
    </row>
    <row r="28" spans="1:35" s="7" customFormat="1" ht="18.95" customHeight="1">
      <c r="A28" s="908">
        <v>7</v>
      </c>
      <c r="B28" s="904" t="s">
        <v>1316</v>
      </c>
      <c r="C28" s="271">
        <f>32+15</f>
        <v>47</v>
      </c>
      <c r="D28" s="271">
        <f>24+22</f>
        <v>46</v>
      </c>
      <c r="E28" s="271">
        <f>21+7</f>
        <v>28</v>
      </c>
      <c r="F28" s="738">
        <f>17+9</f>
        <v>26</v>
      </c>
      <c r="G28" s="738">
        <f t="shared" si="17"/>
        <v>147</v>
      </c>
      <c r="H28" s="738">
        <f>35+15+31+21</f>
        <v>102</v>
      </c>
      <c r="I28" s="565">
        <f t="shared" si="10"/>
        <v>249</v>
      </c>
      <c r="J28" s="569">
        <f>42+12</f>
        <v>54</v>
      </c>
      <c r="K28" s="566">
        <f>16+7</f>
        <v>23</v>
      </c>
      <c r="L28" s="565">
        <f t="shared" si="11"/>
        <v>77</v>
      </c>
      <c r="M28" s="565">
        <f t="shared" si="12"/>
        <v>326</v>
      </c>
      <c r="N28" s="604"/>
      <c r="O28" s="253">
        <f>48+12</f>
        <v>60</v>
      </c>
      <c r="P28" s="23"/>
      <c r="Q28" s="566">
        <f>24+3</f>
        <v>27</v>
      </c>
      <c r="R28" s="933"/>
      <c r="S28" s="933">
        <f t="shared" si="18"/>
        <v>87</v>
      </c>
      <c r="T28" s="933"/>
      <c r="U28" s="565">
        <f t="shared" si="13"/>
        <v>87</v>
      </c>
      <c r="V28" s="569"/>
      <c r="W28" s="566"/>
      <c r="X28" s="565">
        <f t="shared" si="14"/>
        <v>0</v>
      </c>
      <c r="Y28" s="565">
        <f t="shared" si="15"/>
        <v>87</v>
      </c>
      <c r="Z28" s="601">
        <f t="shared" si="16"/>
        <v>413</v>
      </c>
      <c r="AB28" s="886">
        <f>41700*2-500</f>
        <v>82900</v>
      </c>
      <c r="AC28" s="886"/>
      <c r="AI28" s="883">
        <f t="shared" si="9"/>
        <v>0</v>
      </c>
    </row>
    <row r="29" spans="1:35" s="7" customFormat="1" ht="18.95" customHeight="1">
      <c r="A29" s="908">
        <v>8</v>
      </c>
      <c r="B29" s="904" t="s">
        <v>396</v>
      </c>
      <c r="C29" s="271">
        <f>23+27</f>
        <v>50</v>
      </c>
      <c r="D29" s="271">
        <f>33+32</f>
        <v>65</v>
      </c>
      <c r="E29" s="271">
        <f>23+20</f>
        <v>43</v>
      </c>
      <c r="F29" s="738">
        <f>17+12</f>
        <v>29</v>
      </c>
      <c r="G29" s="738">
        <f t="shared" si="17"/>
        <v>187</v>
      </c>
      <c r="H29" s="738">
        <f>21+22+43</f>
        <v>86</v>
      </c>
      <c r="I29" s="565">
        <f t="shared" si="10"/>
        <v>273</v>
      </c>
      <c r="J29" s="569">
        <f>32+14</f>
        <v>46</v>
      </c>
      <c r="K29" s="566">
        <f>27+2</f>
        <v>29</v>
      </c>
      <c r="L29" s="565">
        <f t="shared" si="11"/>
        <v>75</v>
      </c>
      <c r="M29" s="565">
        <f t="shared" si="12"/>
        <v>348</v>
      </c>
      <c r="N29" s="604"/>
      <c r="O29" s="253">
        <f>25+14</f>
        <v>39</v>
      </c>
      <c r="P29" s="23">
        <f>50+15</f>
        <v>65</v>
      </c>
      <c r="Q29" s="566"/>
      <c r="R29" s="933"/>
      <c r="S29" s="933">
        <f t="shared" si="18"/>
        <v>104</v>
      </c>
      <c r="T29" s="933"/>
      <c r="U29" s="565">
        <f t="shared" si="13"/>
        <v>104</v>
      </c>
      <c r="V29" s="569"/>
      <c r="W29" s="566"/>
      <c r="X29" s="565">
        <f t="shared" si="14"/>
        <v>0</v>
      </c>
      <c r="Y29" s="565">
        <f t="shared" si="15"/>
        <v>104</v>
      </c>
      <c r="Z29" s="601">
        <f t="shared" si="16"/>
        <v>452</v>
      </c>
      <c r="AB29" s="886">
        <f>41700*2-500</f>
        <v>82900</v>
      </c>
      <c r="AC29" s="886"/>
      <c r="AI29" s="883">
        <f t="shared" si="9"/>
        <v>0</v>
      </c>
    </row>
    <row r="30" spans="1:35" s="7" customFormat="1" ht="28.5">
      <c r="A30" s="908">
        <v>9</v>
      </c>
      <c r="B30" s="904" t="s">
        <v>1317</v>
      </c>
      <c r="C30" s="271">
        <f>32+14</f>
        <v>46</v>
      </c>
      <c r="D30" s="271">
        <f>25+11</f>
        <v>36</v>
      </c>
      <c r="E30" s="271">
        <f>24+4</f>
        <v>28</v>
      </c>
      <c r="F30" s="738"/>
      <c r="G30" s="738">
        <f t="shared" si="17"/>
        <v>110</v>
      </c>
      <c r="H30" s="738">
        <f>62+11</f>
        <v>73</v>
      </c>
      <c r="I30" s="565">
        <f t="shared" si="10"/>
        <v>183</v>
      </c>
      <c r="J30" s="569">
        <f>6+2+14+4</f>
        <v>26</v>
      </c>
      <c r="K30" s="566">
        <f>5+5</f>
        <v>10</v>
      </c>
      <c r="L30" s="565">
        <f t="shared" si="11"/>
        <v>36</v>
      </c>
      <c r="M30" s="565">
        <f t="shared" si="12"/>
        <v>219</v>
      </c>
      <c r="N30" s="604"/>
      <c r="O30" s="253">
        <f>35+16</f>
        <v>51</v>
      </c>
      <c r="P30" s="23">
        <f>27+3</f>
        <v>30</v>
      </c>
      <c r="Q30" s="566"/>
      <c r="R30" s="933"/>
      <c r="S30" s="933">
        <f t="shared" si="18"/>
        <v>81</v>
      </c>
      <c r="T30" s="933"/>
      <c r="U30" s="565">
        <f t="shared" si="13"/>
        <v>81</v>
      </c>
      <c r="V30" s="569"/>
      <c r="W30" s="566"/>
      <c r="X30" s="565">
        <f t="shared" si="14"/>
        <v>0</v>
      </c>
      <c r="Y30" s="565">
        <f t="shared" si="15"/>
        <v>81</v>
      </c>
      <c r="Z30" s="601">
        <f t="shared" si="16"/>
        <v>300</v>
      </c>
      <c r="AB30" s="886">
        <f>41700*2-500</f>
        <v>82900</v>
      </c>
      <c r="AC30" s="886"/>
      <c r="AI30" s="883">
        <f t="shared" si="9"/>
        <v>0</v>
      </c>
    </row>
    <row r="31" spans="1:35" s="7" customFormat="1" ht="18.95" customHeight="1">
      <c r="A31" s="908">
        <v>10</v>
      </c>
      <c r="B31" s="904" t="s">
        <v>409</v>
      </c>
      <c r="C31" s="271">
        <f>17+11</f>
        <v>28</v>
      </c>
      <c r="D31" s="271">
        <f>18+9</f>
        <v>27</v>
      </c>
      <c r="E31" s="271">
        <f>7+5</f>
        <v>12</v>
      </c>
      <c r="F31" s="738">
        <f>5+6</f>
        <v>11</v>
      </c>
      <c r="G31" s="738">
        <f t="shared" si="17"/>
        <v>78</v>
      </c>
      <c r="H31" s="738">
        <f>10+6+16</f>
        <v>32</v>
      </c>
      <c r="I31" s="565">
        <f>C31+E31+H31+D31+F31</f>
        <v>110</v>
      </c>
      <c r="J31" s="569">
        <f>29+22+4</f>
        <v>55</v>
      </c>
      <c r="K31" s="566">
        <f>5+18+3</f>
        <v>26</v>
      </c>
      <c r="L31" s="565">
        <f>J31+K31</f>
        <v>81</v>
      </c>
      <c r="M31" s="565">
        <f>I31+L31</f>
        <v>191</v>
      </c>
      <c r="N31" s="604"/>
      <c r="O31" s="253"/>
      <c r="P31" s="23"/>
      <c r="Q31" s="566"/>
      <c r="R31" s="933"/>
      <c r="S31" s="933">
        <f t="shared" si="18"/>
        <v>0</v>
      </c>
      <c r="T31" s="933"/>
      <c r="U31" s="565">
        <f t="shared" si="13"/>
        <v>0</v>
      </c>
      <c r="V31" s="569"/>
      <c r="W31" s="566"/>
      <c r="X31" s="565">
        <f>V31+W31</f>
        <v>0</v>
      </c>
      <c r="Y31" s="565">
        <f>U31+X31</f>
        <v>0</v>
      </c>
      <c r="Z31" s="601">
        <f>Y31+M31</f>
        <v>191</v>
      </c>
      <c r="AB31" s="886"/>
      <c r="AC31" s="886"/>
      <c r="AI31" s="883">
        <f t="shared" si="9"/>
        <v>0</v>
      </c>
    </row>
    <row r="32" spans="1:35" s="7" customFormat="1" ht="18.95" customHeight="1">
      <c r="A32" s="908">
        <v>11</v>
      </c>
      <c r="B32" s="904" t="s">
        <v>382</v>
      </c>
      <c r="C32" s="238">
        <v>168</v>
      </c>
      <c r="D32" s="238">
        <v>141</v>
      </c>
      <c r="E32" s="238">
        <v>95</v>
      </c>
      <c r="F32" s="567">
        <v>87</v>
      </c>
      <c r="G32" s="738">
        <f t="shared" si="17"/>
        <v>491</v>
      </c>
      <c r="H32" s="567">
        <f>20+20</f>
        <v>40</v>
      </c>
      <c r="I32" s="565">
        <f>C32+E32+H32+D32+F32</f>
        <v>531</v>
      </c>
      <c r="J32" s="570">
        <f>13+18</f>
        <v>31</v>
      </c>
      <c r="K32" s="567">
        <v>4</v>
      </c>
      <c r="L32" s="565">
        <f>J32+K32</f>
        <v>35</v>
      </c>
      <c r="M32" s="565">
        <f>I32+L32</f>
        <v>566</v>
      </c>
      <c r="N32" s="604"/>
      <c r="O32" s="256"/>
      <c r="P32" s="238"/>
      <c r="Q32" s="567"/>
      <c r="R32" s="933"/>
      <c r="S32" s="933">
        <f t="shared" si="18"/>
        <v>0</v>
      </c>
      <c r="T32" s="933"/>
      <c r="U32" s="565">
        <f t="shared" si="13"/>
        <v>0</v>
      </c>
      <c r="V32" s="570"/>
      <c r="W32" s="567"/>
      <c r="X32" s="565">
        <f>V32+W32</f>
        <v>0</v>
      </c>
      <c r="Y32" s="565">
        <f>U32+X32</f>
        <v>0</v>
      </c>
      <c r="Z32" s="601">
        <f>Y32+M32</f>
        <v>566</v>
      </c>
      <c r="AB32" s="886"/>
      <c r="AC32" s="886"/>
      <c r="AI32" s="883">
        <f t="shared" si="9"/>
        <v>0</v>
      </c>
    </row>
    <row r="33" spans="1:35" s="7" customFormat="1" ht="28.5">
      <c r="A33" s="908">
        <v>12</v>
      </c>
      <c r="B33" s="904" t="s">
        <v>1323</v>
      </c>
      <c r="C33" s="238">
        <f>30+10</f>
        <v>40</v>
      </c>
      <c r="D33" s="238">
        <f>32+8</f>
        <v>40</v>
      </c>
      <c r="E33" s="238"/>
      <c r="F33" s="567"/>
      <c r="G33" s="738">
        <f t="shared" si="17"/>
        <v>80</v>
      </c>
      <c r="H33" s="567">
        <f>77+20</f>
        <v>97</v>
      </c>
      <c r="I33" s="565">
        <f>C33+E33+H33+D33+F33</f>
        <v>177</v>
      </c>
      <c r="J33" s="570">
        <f>6+30+4+10</f>
        <v>50</v>
      </c>
      <c r="K33" s="567">
        <v>21</v>
      </c>
      <c r="L33" s="565">
        <f>J33+K33</f>
        <v>71</v>
      </c>
      <c r="M33" s="565">
        <f>I33+L33</f>
        <v>248</v>
      </c>
      <c r="N33" s="604"/>
      <c r="O33" s="256">
        <f>8+22</f>
        <v>30</v>
      </c>
      <c r="P33" s="238">
        <f>32+5</f>
        <v>37</v>
      </c>
      <c r="Q33" s="567"/>
      <c r="R33" s="933"/>
      <c r="S33" s="933">
        <f t="shared" si="18"/>
        <v>67</v>
      </c>
      <c r="T33" s="933"/>
      <c r="U33" s="565">
        <f t="shared" si="13"/>
        <v>67</v>
      </c>
      <c r="V33" s="570"/>
      <c r="W33" s="567"/>
      <c r="X33" s="565">
        <f>V33+W33</f>
        <v>0</v>
      </c>
      <c r="Y33" s="565">
        <f>U33+X33</f>
        <v>67</v>
      </c>
      <c r="Z33" s="601">
        <f>Y33+M33</f>
        <v>315</v>
      </c>
      <c r="AB33" s="886">
        <f>41700*2-500</f>
        <v>82900</v>
      </c>
      <c r="AC33" s="886"/>
      <c r="AI33" s="883">
        <f t="shared" si="9"/>
        <v>0</v>
      </c>
    </row>
    <row r="34" spans="1:35" s="7" customFormat="1" ht="18.95" customHeight="1">
      <c r="A34" s="908">
        <v>13</v>
      </c>
      <c r="B34" s="904" t="s">
        <v>410</v>
      </c>
      <c r="C34" s="271">
        <f>46+2</f>
        <v>48</v>
      </c>
      <c r="D34" s="271">
        <f>48+1</f>
        <v>49</v>
      </c>
      <c r="E34" s="271">
        <f>49+2</f>
        <v>51</v>
      </c>
      <c r="F34" s="738">
        <f>44+1</f>
        <v>45</v>
      </c>
      <c r="G34" s="738">
        <f t="shared" si="17"/>
        <v>193</v>
      </c>
      <c r="H34" s="738"/>
      <c r="I34" s="565">
        <f>C34+E34+H34+D34+F34</f>
        <v>193</v>
      </c>
      <c r="J34" s="569">
        <v>31</v>
      </c>
      <c r="K34" s="566">
        <v>13</v>
      </c>
      <c r="L34" s="565">
        <f>J34+K34</f>
        <v>44</v>
      </c>
      <c r="M34" s="565">
        <f>I34+L34</f>
        <v>237</v>
      </c>
      <c r="N34" s="604"/>
      <c r="O34" s="253">
        <v>3</v>
      </c>
      <c r="P34" s="23">
        <v>10</v>
      </c>
      <c r="Q34" s="566">
        <v>15</v>
      </c>
      <c r="R34" s="933">
        <v>8</v>
      </c>
      <c r="S34" s="933">
        <f t="shared" si="18"/>
        <v>36</v>
      </c>
      <c r="T34" s="933"/>
      <c r="U34" s="565">
        <f t="shared" si="13"/>
        <v>36</v>
      </c>
      <c r="V34" s="569"/>
      <c r="W34" s="566"/>
      <c r="X34" s="565">
        <f>V34+W34</f>
        <v>0</v>
      </c>
      <c r="Y34" s="565">
        <f>U34+X34</f>
        <v>36</v>
      </c>
      <c r="Z34" s="601">
        <f>Y34+M34</f>
        <v>273</v>
      </c>
      <c r="AB34" s="886">
        <f>41700*2-500</f>
        <v>82900</v>
      </c>
      <c r="AC34" s="886"/>
      <c r="AI34" s="883">
        <f t="shared" si="9"/>
        <v>0</v>
      </c>
    </row>
    <row r="35" spans="1:35">
      <c r="I35" s="565">
        <f t="shared" ref="I35" si="19">C35+E35+H35+D35+F35</f>
        <v>0</v>
      </c>
      <c r="M35" s="565">
        <f t="shared" ref="M35" si="20">I35+L35</f>
        <v>0</v>
      </c>
      <c r="U35" s="565">
        <f t="shared" si="13"/>
        <v>0</v>
      </c>
      <c r="AI35" s="883">
        <f t="shared" si="9"/>
        <v>0</v>
      </c>
    </row>
    <row r="36" spans="1:35" ht="20.100000000000001" customHeight="1">
      <c r="A36" s="1521" t="s">
        <v>752</v>
      </c>
      <c r="B36" s="1522"/>
      <c r="C36" s="856">
        <f>SUM(C22:C34)</f>
        <v>681</v>
      </c>
      <c r="D36" s="856">
        <f t="shared" ref="D36:Z36" si="21">SUM(D22:D34)</f>
        <v>650</v>
      </c>
      <c r="E36" s="856">
        <f t="shared" si="21"/>
        <v>435</v>
      </c>
      <c r="F36" s="856">
        <f t="shared" si="21"/>
        <v>349</v>
      </c>
      <c r="G36" s="856">
        <f t="shared" si="21"/>
        <v>2115</v>
      </c>
      <c r="H36" s="856">
        <f t="shared" si="21"/>
        <v>764</v>
      </c>
      <c r="I36" s="856">
        <f t="shared" si="21"/>
        <v>2879</v>
      </c>
      <c r="J36" s="856">
        <f t="shared" si="21"/>
        <v>459</v>
      </c>
      <c r="K36" s="856">
        <f t="shared" si="21"/>
        <v>155</v>
      </c>
      <c r="L36" s="856">
        <f t="shared" si="21"/>
        <v>614</v>
      </c>
      <c r="M36" s="856">
        <f t="shared" si="21"/>
        <v>3493</v>
      </c>
      <c r="N36" s="856">
        <f t="shared" si="21"/>
        <v>0</v>
      </c>
      <c r="O36" s="856">
        <f t="shared" si="21"/>
        <v>265</v>
      </c>
      <c r="P36" s="856">
        <f t="shared" si="21"/>
        <v>336</v>
      </c>
      <c r="Q36" s="856">
        <f t="shared" si="21"/>
        <v>210</v>
      </c>
      <c r="R36" s="856">
        <f t="shared" si="21"/>
        <v>94</v>
      </c>
      <c r="S36" s="856"/>
      <c r="T36" s="856">
        <f t="shared" si="21"/>
        <v>72</v>
      </c>
      <c r="U36" s="565">
        <f>+T36+R36+Q36+P36+O36</f>
        <v>977</v>
      </c>
      <c r="V36" s="856">
        <f t="shared" si="21"/>
        <v>0</v>
      </c>
      <c r="W36" s="856">
        <f t="shared" si="21"/>
        <v>0</v>
      </c>
      <c r="X36" s="856">
        <f t="shared" si="21"/>
        <v>0</v>
      </c>
      <c r="Y36" s="856">
        <f t="shared" si="21"/>
        <v>977</v>
      </c>
      <c r="Z36" s="856">
        <f t="shared" si="21"/>
        <v>4470</v>
      </c>
      <c r="AI36" s="883">
        <f t="shared" si="9"/>
        <v>0</v>
      </c>
    </row>
    <row r="37" spans="1:35" ht="15" customHeight="1">
      <c r="A37" s="1478" t="s">
        <v>152</v>
      </c>
      <c r="B37" s="1480"/>
      <c r="C37" s="24"/>
      <c r="D37" s="24"/>
      <c r="E37" s="24"/>
      <c r="F37" s="24"/>
      <c r="G37" s="24"/>
      <c r="H37" s="24"/>
      <c r="I37" s="25"/>
      <c r="J37" s="24"/>
      <c r="K37" s="24"/>
      <c r="L37" s="25"/>
      <c r="M37" s="24"/>
      <c r="N37" s="604"/>
      <c r="O37" s="24"/>
      <c r="P37" s="24"/>
      <c r="Q37" s="24"/>
      <c r="R37" s="24"/>
      <c r="S37" s="24"/>
      <c r="T37" s="24"/>
      <c r="U37" s="25"/>
      <c r="V37" s="24"/>
      <c r="W37" s="24"/>
      <c r="X37" s="25"/>
      <c r="Y37" s="24"/>
      <c r="Z37" s="600"/>
      <c r="AI37" s="883">
        <f t="shared" si="9"/>
        <v>0</v>
      </c>
    </row>
    <row r="38" spans="1:35" ht="15" customHeight="1">
      <c r="A38" s="561">
        <v>1</v>
      </c>
      <c r="B38" s="562"/>
      <c r="C38" s="359"/>
      <c r="D38" s="359"/>
      <c r="E38" s="359"/>
      <c r="F38" s="568"/>
      <c r="G38" s="568"/>
      <c r="H38" s="568"/>
      <c r="I38" s="565">
        <f t="shared" ref="I38:I41" si="22">C38+E38+H38+D38+F38</f>
        <v>0</v>
      </c>
      <c r="J38" s="571"/>
      <c r="K38" s="568"/>
      <c r="L38" s="565">
        <f t="shared" ref="L38:L41" si="23">J38+K38</f>
        <v>0</v>
      </c>
      <c r="M38" s="565">
        <f t="shared" ref="M38:M41" si="24">I38+L38</f>
        <v>0</v>
      </c>
      <c r="N38" s="604"/>
      <c r="O38" s="358"/>
      <c r="P38" s="359"/>
      <c r="Q38" s="359"/>
      <c r="R38" s="568"/>
      <c r="S38" s="933">
        <f t="shared" ref="S38:S42" si="25">SUM(O38:R38)</f>
        <v>0</v>
      </c>
      <c r="T38" s="933"/>
      <c r="U38" s="565">
        <f t="shared" ref="U38:U42" si="26">+O38+P38+Q38+R38+T38</f>
        <v>0</v>
      </c>
      <c r="V38" s="571"/>
      <c r="W38" s="568"/>
      <c r="X38" s="565">
        <f t="shared" ref="X38:X41" si="27">V38+W38</f>
        <v>0</v>
      </c>
      <c r="Y38" s="565">
        <f t="shared" ref="Y38:Y41" si="28">U38+X38</f>
        <v>0</v>
      </c>
      <c r="Z38" s="601">
        <f t="shared" ref="Z38:Z41" si="29">Y38+M38</f>
        <v>0</v>
      </c>
      <c r="AI38" s="883">
        <f t="shared" si="9"/>
        <v>0</v>
      </c>
    </row>
    <row r="39" spans="1:35" ht="15" customHeight="1">
      <c r="A39" s="561">
        <v>2</v>
      </c>
      <c r="B39" s="562"/>
      <c r="C39" s="359"/>
      <c r="D39" s="359"/>
      <c r="E39" s="359"/>
      <c r="F39" s="568"/>
      <c r="G39" s="568"/>
      <c r="H39" s="568"/>
      <c r="I39" s="565">
        <f t="shared" si="22"/>
        <v>0</v>
      </c>
      <c r="J39" s="571"/>
      <c r="K39" s="568"/>
      <c r="L39" s="565">
        <f t="shared" si="23"/>
        <v>0</v>
      </c>
      <c r="M39" s="565">
        <f t="shared" si="24"/>
        <v>0</v>
      </c>
      <c r="N39" s="604"/>
      <c r="O39" s="358"/>
      <c r="P39" s="359"/>
      <c r="Q39" s="359"/>
      <c r="R39" s="568"/>
      <c r="S39" s="933">
        <f t="shared" si="25"/>
        <v>0</v>
      </c>
      <c r="T39" s="933"/>
      <c r="U39" s="565">
        <f t="shared" si="26"/>
        <v>0</v>
      </c>
      <c r="V39" s="571"/>
      <c r="W39" s="568"/>
      <c r="X39" s="565">
        <f t="shared" si="27"/>
        <v>0</v>
      </c>
      <c r="Y39" s="565">
        <f t="shared" si="28"/>
        <v>0</v>
      </c>
      <c r="Z39" s="601">
        <f t="shared" si="29"/>
        <v>0</v>
      </c>
      <c r="AI39" s="883">
        <f t="shared" si="9"/>
        <v>0</v>
      </c>
    </row>
    <row r="40" spans="1:35" ht="15" customHeight="1">
      <c r="A40" s="561">
        <v>3</v>
      </c>
      <c r="B40" s="562"/>
      <c r="C40" s="359"/>
      <c r="D40" s="359"/>
      <c r="E40" s="359"/>
      <c r="F40" s="568"/>
      <c r="G40" s="568"/>
      <c r="H40" s="568"/>
      <c r="I40" s="565">
        <f t="shared" si="22"/>
        <v>0</v>
      </c>
      <c r="J40" s="571"/>
      <c r="K40" s="568"/>
      <c r="L40" s="565">
        <f t="shared" si="23"/>
        <v>0</v>
      </c>
      <c r="M40" s="565">
        <f t="shared" si="24"/>
        <v>0</v>
      </c>
      <c r="N40" s="604"/>
      <c r="O40" s="358"/>
      <c r="P40" s="359"/>
      <c r="Q40" s="359"/>
      <c r="R40" s="568"/>
      <c r="S40" s="933">
        <f t="shared" si="25"/>
        <v>0</v>
      </c>
      <c r="T40" s="933"/>
      <c r="U40" s="565">
        <f t="shared" si="26"/>
        <v>0</v>
      </c>
      <c r="V40" s="571"/>
      <c r="W40" s="568"/>
      <c r="X40" s="565">
        <f t="shared" si="27"/>
        <v>0</v>
      </c>
      <c r="Y40" s="565">
        <f t="shared" si="28"/>
        <v>0</v>
      </c>
      <c r="Z40" s="601">
        <f t="shared" si="29"/>
        <v>0</v>
      </c>
      <c r="AI40" s="883">
        <f t="shared" si="9"/>
        <v>0</v>
      </c>
    </row>
    <row r="41" spans="1:35" ht="15" customHeight="1">
      <c r="A41" s="561">
        <v>4</v>
      </c>
      <c r="B41" s="562"/>
      <c r="C41" s="359"/>
      <c r="D41" s="359"/>
      <c r="E41" s="359"/>
      <c r="F41" s="568"/>
      <c r="G41" s="568"/>
      <c r="H41" s="568"/>
      <c r="I41" s="565">
        <f t="shared" si="22"/>
        <v>0</v>
      </c>
      <c r="J41" s="571"/>
      <c r="K41" s="568"/>
      <c r="L41" s="565">
        <f t="shared" si="23"/>
        <v>0</v>
      </c>
      <c r="M41" s="565">
        <f t="shared" si="24"/>
        <v>0</v>
      </c>
      <c r="N41" s="604"/>
      <c r="O41" s="358"/>
      <c r="P41" s="359"/>
      <c r="Q41" s="359"/>
      <c r="R41" s="568"/>
      <c r="S41" s="933">
        <f t="shared" si="25"/>
        <v>0</v>
      </c>
      <c r="T41" s="933"/>
      <c r="U41" s="565">
        <f t="shared" si="26"/>
        <v>0</v>
      </c>
      <c r="V41" s="571"/>
      <c r="W41" s="568"/>
      <c r="X41" s="565">
        <f t="shared" si="27"/>
        <v>0</v>
      </c>
      <c r="Y41" s="565">
        <f t="shared" si="28"/>
        <v>0</v>
      </c>
      <c r="Z41" s="601">
        <f t="shared" si="29"/>
        <v>0</v>
      </c>
      <c r="AI41" s="883">
        <f t="shared" si="9"/>
        <v>0</v>
      </c>
    </row>
    <row r="42" spans="1:35" s="7" customFormat="1" ht="18.95" customHeight="1">
      <c r="A42" s="561">
        <v>5</v>
      </c>
      <c r="B42" s="562"/>
      <c r="C42" s="359"/>
      <c r="D42" s="359"/>
      <c r="E42" s="359"/>
      <c r="F42" s="568"/>
      <c r="G42" s="568"/>
      <c r="H42" s="568"/>
      <c r="I42" s="565">
        <f t="shared" ref="I42" si="30">C42+E42+H42+D42+F42</f>
        <v>0</v>
      </c>
      <c r="J42" s="571"/>
      <c r="K42" s="568"/>
      <c r="L42" s="565">
        <f t="shared" ref="L42" si="31">J42+K42</f>
        <v>0</v>
      </c>
      <c r="M42" s="565">
        <f t="shared" ref="M42" si="32">I42+L42</f>
        <v>0</v>
      </c>
      <c r="N42" s="604"/>
      <c r="O42" s="358"/>
      <c r="P42" s="359"/>
      <c r="Q42" s="359"/>
      <c r="R42" s="568"/>
      <c r="S42" s="804">
        <f t="shared" si="25"/>
        <v>0</v>
      </c>
      <c r="T42" s="804"/>
      <c r="U42" s="565">
        <f t="shared" si="26"/>
        <v>0</v>
      </c>
      <c r="V42" s="571"/>
      <c r="W42" s="568"/>
      <c r="X42" s="565">
        <f t="shared" ref="X42" si="33">V42+W42</f>
        <v>0</v>
      </c>
      <c r="Y42" s="565">
        <f t="shared" ref="Y42" si="34">U42+X42</f>
        <v>0</v>
      </c>
      <c r="Z42" s="601">
        <f>Y42+M42</f>
        <v>0</v>
      </c>
      <c r="AB42" s="886"/>
      <c r="AC42" s="886"/>
      <c r="AI42" s="883">
        <f t="shared" si="9"/>
        <v>0</v>
      </c>
    </row>
    <row r="43" spans="1:35" ht="20.100000000000001" customHeight="1">
      <c r="A43" s="1521" t="s">
        <v>752</v>
      </c>
      <c r="B43" s="1522"/>
      <c r="C43" s="560">
        <f>SUM(C38:C42)</f>
        <v>0</v>
      </c>
      <c r="D43" s="560">
        <f t="shared" ref="D43:Z43" si="35">SUM(D38:D42)</f>
        <v>0</v>
      </c>
      <c r="E43" s="560">
        <f t="shared" si="35"/>
        <v>0</v>
      </c>
      <c r="F43" s="560">
        <f t="shared" si="35"/>
        <v>0</v>
      </c>
      <c r="G43" s="560"/>
      <c r="H43" s="560">
        <f t="shared" si="35"/>
        <v>0</v>
      </c>
      <c r="I43" s="560">
        <f t="shared" si="35"/>
        <v>0</v>
      </c>
      <c r="J43" s="560">
        <f t="shared" si="35"/>
        <v>0</v>
      </c>
      <c r="K43" s="560">
        <f t="shared" si="35"/>
        <v>0</v>
      </c>
      <c r="L43" s="560">
        <f t="shared" si="35"/>
        <v>0</v>
      </c>
      <c r="M43" s="560">
        <f t="shared" si="35"/>
        <v>0</v>
      </c>
      <c r="N43" s="560">
        <f t="shared" si="35"/>
        <v>0</v>
      </c>
      <c r="O43" s="560">
        <f t="shared" si="35"/>
        <v>0</v>
      </c>
      <c r="P43" s="560">
        <f t="shared" si="35"/>
        <v>0</v>
      </c>
      <c r="Q43" s="560">
        <f t="shared" si="35"/>
        <v>0</v>
      </c>
      <c r="R43" s="560">
        <f t="shared" si="35"/>
        <v>0</v>
      </c>
      <c r="S43" s="560"/>
      <c r="T43" s="560">
        <f t="shared" si="35"/>
        <v>0</v>
      </c>
      <c r="U43" s="560">
        <f t="shared" si="35"/>
        <v>0</v>
      </c>
      <c r="V43" s="560">
        <f t="shared" si="35"/>
        <v>0</v>
      </c>
      <c r="W43" s="560">
        <f t="shared" si="35"/>
        <v>0</v>
      </c>
      <c r="X43" s="560">
        <f t="shared" si="35"/>
        <v>0</v>
      </c>
      <c r="Y43" s="560">
        <f t="shared" si="35"/>
        <v>0</v>
      </c>
      <c r="Z43" s="560">
        <f t="shared" si="35"/>
        <v>0</v>
      </c>
      <c r="AI43" s="883">
        <f t="shared" si="9"/>
        <v>0</v>
      </c>
    </row>
    <row r="44" spans="1:35" ht="15" customHeight="1">
      <c r="A44" s="1478" t="s">
        <v>741</v>
      </c>
      <c r="B44" s="1480"/>
      <c r="C44" s="24"/>
      <c r="D44" s="24"/>
      <c r="E44" s="24"/>
      <c r="F44" s="24"/>
      <c r="G44" s="24"/>
      <c r="H44" s="24"/>
      <c r="I44" s="25"/>
      <c r="J44" s="24"/>
      <c r="K44" s="24"/>
      <c r="L44" s="25"/>
      <c r="M44" s="24"/>
      <c r="N44" s="604"/>
      <c r="O44" s="24"/>
      <c r="P44" s="24"/>
      <c r="Q44" s="24"/>
      <c r="R44" s="24"/>
      <c r="S44" s="24"/>
      <c r="T44" s="24"/>
      <c r="U44" s="25"/>
      <c r="V44" s="24"/>
      <c r="W44" s="24"/>
      <c r="X44" s="25"/>
      <c r="Y44" s="24"/>
      <c r="Z44" s="600"/>
      <c r="AI44" s="883">
        <f t="shared" si="9"/>
        <v>0</v>
      </c>
    </row>
    <row r="45" spans="1:35" s="7" customFormat="1" ht="18.95" customHeight="1">
      <c r="A45" s="903">
        <v>1</v>
      </c>
      <c r="B45" s="904" t="s">
        <v>1321</v>
      </c>
      <c r="C45" s="23">
        <f>41+17</f>
        <v>58</v>
      </c>
      <c r="D45" s="23">
        <f>37+14</f>
        <v>51</v>
      </c>
      <c r="E45" s="23">
        <f>42+14</f>
        <v>56</v>
      </c>
      <c r="F45" s="566">
        <f>44+20</f>
        <v>64</v>
      </c>
      <c r="G45" s="566">
        <f>SUM(C45:F45)</f>
        <v>229</v>
      </c>
      <c r="H45" s="802">
        <f>39+12+13+4+27+5+25+10+28+9</f>
        <v>172</v>
      </c>
      <c r="I45" s="565">
        <f t="shared" ref="I45:I47" si="36">C45+E45+H45+D45+F45</f>
        <v>401</v>
      </c>
      <c r="J45" s="569">
        <f>26+5</f>
        <v>31</v>
      </c>
      <c r="K45" s="566">
        <f>21+7</f>
        <v>28</v>
      </c>
      <c r="L45" s="565">
        <f t="shared" ref="L45:L53" si="37">J45+K45</f>
        <v>59</v>
      </c>
      <c r="M45" s="565">
        <f t="shared" ref="M45:M53" si="38">I45+L45</f>
        <v>460</v>
      </c>
      <c r="N45" s="604"/>
      <c r="O45" s="253">
        <f>172+22</f>
        <v>194</v>
      </c>
      <c r="P45" s="23">
        <f>130+21</f>
        <v>151</v>
      </c>
      <c r="Q45" s="23">
        <f>97+13</f>
        <v>110</v>
      </c>
      <c r="R45" s="566"/>
      <c r="S45" s="933">
        <f t="shared" ref="S45:S48" si="39">SUM(O45:R45)</f>
        <v>455</v>
      </c>
      <c r="T45" s="934">
        <f>30+3+28+3+29+19+6</f>
        <v>118</v>
      </c>
      <c r="U45" s="565">
        <f t="shared" ref="U45:U53" si="40">+O45+P45+Q45+R45+T45</f>
        <v>573</v>
      </c>
      <c r="V45" s="569"/>
      <c r="W45" s="566"/>
      <c r="X45" s="565">
        <f t="shared" ref="X45:X53" si="41">V45+W45</f>
        <v>0</v>
      </c>
      <c r="Y45" s="565">
        <f t="shared" ref="Y45:Y53" si="42">U45+X45</f>
        <v>573</v>
      </c>
      <c r="Z45" s="601">
        <f t="shared" ref="Z45:Z53" si="43">Y45+M45</f>
        <v>1033</v>
      </c>
      <c r="AB45" s="886">
        <f>41700*2-500</f>
        <v>82900</v>
      </c>
      <c r="AC45" s="886">
        <f>56500*2-500</f>
        <v>112500</v>
      </c>
      <c r="AI45" s="883">
        <f t="shared" si="9"/>
        <v>0</v>
      </c>
    </row>
    <row r="46" spans="1:35" s="7" customFormat="1" ht="18.95" customHeight="1">
      <c r="A46" s="905">
        <v>2</v>
      </c>
      <c r="B46" s="904" t="s">
        <v>1322</v>
      </c>
      <c r="C46" s="238">
        <f>49+4</f>
        <v>53</v>
      </c>
      <c r="D46" s="238">
        <f>59+3</f>
        <v>62</v>
      </c>
      <c r="E46" s="238">
        <f>52+9</f>
        <v>61</v>
      </c>
      <c r="F46" s="567">
        <f>47+7</f>
        <v>54</v>
      </c>
      <c r="G46" s="566">
        <f t="shared" ref="G46:G53" si="44">SUM(C46:F46)</f>
        <v>230</v>
      </c>
      <c r="H46" s="567">
        <f>35+1</f>
        <v>36</v>
      </c>
      <c r="I46" s="565">
        <f t="shared" si="36"/>
        <v>266</v>
      </c>
      <c r="J46" s="570"/>
      <c r="K46" s="567"/>
      <c r="L46" s="565">
        <f t="shared" si="37"/>
        <v>0</v>
      </c>
      <c r="M46" s="565">
        <f t="shared" si="38"/>
        <v>266</v>
      </c>
      <c r="N46" s="604"/>
      <c r="O46" s="256"/>
      <c r="P46" s="238"/>
      <c r="Q46" s="238"/>
      <c r="R46" s="567"/>
      <c r="S46" s="933">
        <f t="shared" si="39"/>
        <v>0</v>
      </c>
      <c r="T46" s="933"/>
      <c r="U46" s="565">
        <f t="shared" si="40"/>
        <v>0</v>
      </c>
      <c r="V46" s="570"/>
      <c r="W46" s="567"/>
      <c r="X46" s="565">
        <f t="shared" si="41"/>
        <v>0</v>
      </c>
      <c r="Y46" s="565">
        <f t="shared" si="42"/>
        <v>0</v>
      </c>
      <c r="Z46" s="601">
        <f t="shared" si="43"/>
        <v>266</v>
      </c>
      <c r="AB46" s="886"/>
      <c r="AC46" s="886"/>
      <c r="AI46" s="883">
        <f t="shared" si="9"/>
        <v>0</v>
      </c>
    </row>
    <row r="47" spans="1:35" s="7" customFormat="1" ht="18.95" customHeight="1">
      <c r="A47" s="903">
        <v>3</v>
      </c>
      <c r="B47" s="904" t="s">
        <v>1324</v>
      </c>
      <c r="C47" s="238"/>
      <c r="D47" s="238"/>
      <c r="E47" s="238"/>
      <c r="F47" s="801"/>
      <c r="G47" s="566">
        <f t="shared" si="44"/>
        <v>0</v>
      </c>
      <c r="H47" s="801">
        <f>59+59</f>
        <v>118</v>
      </c>
      <c r="I47" s="565">
        <f t="shared" si="36"/>
        <v>118</v>
      </c>
      <c r="J47" s="570">
        <f>12+3+8+7</f>
        <v>30</v>
      </c>
      <c r="K47" s="567"/>
      <c r="L47" s="565">
        <f t="shared" si="37"/>
        <v>30</v>
      </c>
      <c r="M47" s="565">
        <f t="shared" si="38"/>
        <v>148</v>
      </c>
      <c r="N47" s="604"/>
      <c r="O47" s="256"/>
      <c r="P47" s="238"/>
      <c r="Q47" s="238"/>
      <c r="R47" s="567"/>
      <c r="S47" s="933">
        <f t="shared" si="39"/>
        <v>0</v>
      </c>
      <c r="T47" s="933"/>
      <c r="U47" s="565">
        <f t="shared" si="40"/>
        <v>0</v>
      </c>
      <c r="V47" s="570"/>
      <c r="W47" s="567"/>
      <c r="X47" s="565">
        <f t="shared" si="41"/>
        <v>0</v>
      </c>
      <c r="Y47" s="565">
        <f t="shared" si="42"/>
        <v>0</v>
      </c>
      <c r="Z47" s="601">
        <f t="shared" si="43"/>
        <v>148</v>
      </c>
      <c r="AB47" s="886"/>
      <c r="AC47" s="886"/>
      <c r="AE47" s="746">
        <v>59</v>
      </c>
      <c r="AF47" s="7" t="s">
        <v>1347</v>
      </c>
      <c r="AI47" s="883">
        <f t="shared" si="9"/>
        <v>0</v>
      </c>
    </row>
    <row r="48" spans="1:35" s="7" customFormat="1" ht="18.95" customHeight="1">
      <c r="A48" s="905">
        <v>4</v>
      </c>
      <c r="B48" s="904" t="s">
        <v>372</v>
      </c>
      <c r="C48" s="238"/>
      <c r="D48" s="238"/>
      <c r="E48" s="238"/>
      <c r="F48" s="567"/>
      <c r="G48" s="566">
        <f t="shared" si="44"/>
        <v>0</v>
      </c>
      <c r="H48" s="567">
        <f>52+52</f>
        <v>104</v>
      </c>
      <c r="I48" s="565">
        <f>C48+E48+H48+D48+F48</f>
        <v>104</v>
      </c>
      <c r="J48" s="570"/>
      <c r="K48" s="567"/>
      <c r="L48" s="565">
        <f>J48+K48</f>
        <v>0</v>
      </c>
      <c r="M48" s="565">
        <f>I48+L48</f>
        <v>104</v>
      </c>
      <c r="N48" s="604"/>
      <c r="O48" s="256"/>
      <c r="P48" s="238"/>
      <c r="Q48" s="238"/>
      <c r="R48" s="567"/>
      <c r="S48" s="933">
        <f t="shared" si="39"/>
        <v>0</v>
      </c>
      <c r="T48" s="933"/>
      <c r="U48" s="565">
        <f t="shared" si="40"/>
        <v>0</v>
      </c>
      <c r="V48" s="570"/>
      <c r="W48" s="567"/>
      <c r="X48" s="565">
        <f>V48+W48</f>
        <v>0</v>
      </c>
      <c r="Y48" s="565">
        <f>U48+X48</f>
        <v>0</v>
      </c>
      <c r="Z48" s="601">
        <f t="shared" si="43"/>
        <v>104</v>
      </c>
      <c r="AB48" s="886"/>
      <c r="AC48" s="886"/>
      <c r="AE48" s="7">
        <f>49+3</f>
        <v>52</v>
      </c>
      <c r="AF48" s="7" t="s">
        <v>1347</v>
      </c>
      <c r="AI48" s="883">
        <f t="shared" si="9"/>
        <v>0</v>
      </c>
    </row>
    <row r="49" spans="1:35" s="7" customFormat="1" ht="18.95" customHeight="1">
      <c r="A49" s="903">
        <v>5</v>
      </c>
      <c r="B49" s="904" t="s">
        <v>1312</v>
      </c>
      <c r="C49" s="23">
        <f>42+15</f>
        <v>57</v>
      </c>
      <c r="D49" s="23">
        <f>40+20</f>
        <v>60</v>
      </c>
      <c r="E49" s="23">
        <f>31+22</f>
        <v>53</v>
      </c>
      <c r="F49" s="566">
        <f>43+27</f>
        <v>70</v>
      </c>
      <c r="G49" s="566">
        <f t="shared" si="44"/>
        <v>240</v>
      </c>
      <c r="H49" s="566">
        <f>44+40</f>
        <v>84</v>
      </c>
      <c r="I49" s="565">
        <f>C49+E49+H49+D49+F49</f>
        <v>324</v>
      </c>
      <c r="J49" s="569">
        <f>32+14</f>
        <v>46</v>
      </c>
      <c r="K49" s="566">
        <f>12+9</f>
        <v>21</v>
      </c>
      <c r="L49" s="565">
        <f>J49+K49</f>
        <v>67</v>
      </c>
      <c r="M49" s="565">
        <f>I49+L49</f>
        <v>391</v>
      </c>
      <c r="N49" s="604"/>
      <c r="O49" s="253">
        <f>37+12</f>
        <v>49</v>
      </c>
      <c r="P49" s="23">
        <f>61+17</f>
        <v>78</v>
      </c>
      <c r="Q49" s="23">
        <f>39+6</f>
        <v>45</v>
      </c>
      <c r="R49" s="566">
        <f>39+11</f>
        <v>50</v>
      </c>
      <c r="S49" s="933">
        <f>SUM(O49:R49)</f>
        <v>222</v>
      </c>
      <c r="T49" s="933"/>
      <c r="U49" s="565">
        <f t="shared" si="40"/>
        <v>222</v>
      </c>
      <c r="V49" s="569"/>
      <c r="W49" s="566"/>
      <c r="X49" s="565">
        <f>V49+W49</f>
        <v>0</v>
      </c>
      <c r="Y49" s="565">
        <f>U49+X49</f>
        <v>222</v>
      </c>
      <c r="Z49" s="601">
        <f t="shared" si="43"/>
        <v>613</v>
      </c>
      <c r="AB49" s="886">
        <f>52700*2-500</f>
        <v>104900</v>
      </c>
      <c r="AC49" s="886"/>
      <c r="AI49" s="883">
        <f t="shared" si="9"/>
        <v>0</v>
      </c>
    </row>
    <row r="50" spans="1:35" s="7" customFormat="1" ht="28.5">
      <c r="A50" s="905">
        <v>6</v>
      </c>
      <c r="B50" s="904" t="s">
        <v>1313</v>
      </c>
      <c r="C50" s="271">
        <f>43+8</f>
        <v>51</v>
      </c>
      <c r="D50" s="271">
        <f>28+11</f>
        <v>39</v>
      </c>
      <c r="E50" s="271"/>
      <c r="F50" s="738"/>
      <c r="G50" s="566">
        <f t="shared" si="44"/>
        <v>90</v>
      </c>
      <c r="H50" s="738"/>
      <c r="I50" s="565">
        <f>C50+E50+H50+D50+F50</f>
        <v>90</v>
      </c>
      <c r="J50" s="569"/>
      <c r="K50" s="566"/>
      <c r="L50" s="565">
        <f>J50+K50</f>
        <v>0</v>
      </c>
      <c r="M50" s="565">
        <f>I50+L50</f>
        <v>90</v>
      </c>
      <c r="N50" s="604"/>
      <c r="O50" s="253"/>
      <c r="P50" s="23"/>
      <c r="Q50" s="23"/>
      <c r="R50" s="566"/>
      <c r="S50" s="933">
        <f t="shared" ref="S50:S53" si="45">SUM(O50:R50)</f>
        <v>0</v>
      </c>
      <c r="T50" s="933"/>
      <c r="U50" s="565">
        <f t="shared" si="40"/>
        <v>0</v>
      </c>
      <c r="V50" s="569"/>
      <c r="W50" s="566"/>
      <c r="X50" s="565">
        <f>V50+W50</f>
        <v>0</v>
      </c>
      <c r="Y50" s="565">
        <f>U50+X50</f>
        <v>0</v>
      </c>
      <c r="Z50" s="601">
        <f t="shared" si="43"/>
        <v>90</v>
      </c>
      <c r="AB50" s="886"/>
      <c r="AC50" s="886"/>
      <c r="AI50" s="883">
        <f t="shared" si="9"/>
        <v>0</v>
      </c>
    </row>
    <row r="51" spans="1:35" s="7" customFormat="1" ht="18.95" customHeight="1">
      <c r="A51" s="903">
        <v>7</v>
      </c>
      <c r="B51" s="904" t="s">
        <v>1344</v>
      </c>
      <c r="C51" s="238">
        <v>24</v>
      </c>
      <c r="D51" s="238"/>
      <c r="E51" s="238"/>
      <c r="F51" s="567"/>
      <c r="G51" s="566">
        <f t="shared" si="44"/>
        <v>24</v>
      </c>
      <c r="H51" s="567"/>
      <c r="I51" s="565">
        <f>C51+E51+H51+D51+F51</f>
        <v>24</v>
      </c>
      <c r="J51" s="570"/>
      <c r="K51" s="567"/>
      <c r="L51" s="565">
        <f>J51+K51</f>
        <v>0</v>
      </c>
      <c r="M51" s="565">
        <f>I51+L51</f>
        <v>24</v>
      </c>
      <c r="N51" s="604"/>
      <c r="O51" s="256"/>
      <c r="P51" s="238"/>
      <c r="Q51" s="238"/>
      <c r="R51" s="567"/>
      <c r="S51" s="933">
        <f t="shared" si="45"/>
        <v>0</v>
      </c>
      <c r="T51" s="933"/>
      <c r="U51" s="565">
        <f t="shared" si="40"/>
        <v>0</v>
      </c>
      <c r="V51" s="570"/>
      <c r="W51" s="567"/>
      <c r="X51" s="565">
        <f>V51+W51</f>
        <v>0</v>
      </c>
      <c r="Y51" s="565">
        <f>U51+X51</f>
        <v>0</v>
      </c>
      <c r="Z51" s="601">
        <f t="shared" si="43"/>
        <v>24</v>
      </c>
      <c r="AB51" s="886"/>
      <c r="AC51" s="886"/>
      <c r="AI51" s="883">
        <f t="shared" si="9"/>
        <v>0</v>
      </c>
    </row>
    <row r="52" spans="1:35" s="7" customFormat="1" ht="18.95" customHeight="1">
      <c r="A52" s="905">
        <v>10</v>
      </c>
      <c r="B52" s="904" t="s">
        <v>423</v>
      </c>
      <c r="C52" s="238">
        <f>20+11</f>
        <v>31</v>
      </c>
      <c r="D52" s="238">
        <f>33+9</f>
        <v>42</v>
      </c>
      <c r="E52" s="238">
        <f>20+3</f>
        <v>23</v>
      </c>
      <c r="F52" s="567">
        <f>12+6</f>
        <v>18</v>
      </c>
      <c r="G52" s="566">
        <f t="shared" si="44"/>
        <v>114</v>
      </c>
      <c r="H52" s="567">
        <f>14+4+18</f>
        <v>36</v>
      </c>
      <c r="I52" s="565">
        <f>C52+E52+H52+D52+F52</f>
        <v>150</v>
      </c>
      <c r="J52" s="570">
        <f>23+7</f>
        <v>30</v>
      </c>
      <c r="K52" s="567">
        <f>12+4</f>
        <v>16</v>
      </c>
      <c r="L52" s="565">
        <f>J52+K52</f>
        <v>46</v>
      </c>
      <c r="M52" s="565">
        <f>I52+L52</f>
        <v>196</v>
      </c>
      <c r="N52" s="604"/>
      <c r="O52" s="256"/>
      <c r="P52" s="238"/>
      <c r="Q52" s="238"/>
      <c r="R52" s="567"/>
      <c r="S52" s="933">
        <f t="shared" si="45"/>
        <v>0</v>
      </c>
      <c r="T52" s="933"/>
      <c r="U52" s="565">
        <f t="shared" si="40"/>
        <v>0</v>
      </c>
      <c r="V52" s="570"/>
      <c r="W52" s="567"/>
      <c r="X52" s="565">
        <f>V52+W52</f>
        <v>0</v>
      </c>
      <c r="Y52" s="565">
        <f>U52+X52</f>
        <v>0</v>
      </c>
      <c r="Z52" s="601">
        <f t="shared" si="43"/>
        <v>196</v>
      </c>
      <c r="AB52" s="886"/>
      <c r="AC52" s="886"/>
      <c r="AE52" s="7">
        <f>14+4</f>
        <v>18</v>
      </c>
      <c r="AF52" s="7" t="s">
        <v>1350</v>
      </c>
      <c r="AI52" s="883">
        <f t="shared" si="9"/>
        <v>0</v>
      </c>
    </row>
    <row r="53" spans="1:35" s="7" customFormat="1" ht="18.95" customHeight="1">
      <c r="A53" s="903">
        <v>11</v>
      </c>
      <c r="B53" s="906"/>
      <c r="C53" s="359"/>
      <c r="D53" s="359"/>
      <c r="E53" s="359"/>
      <c r="F53" s="568"/>
      <c r="G53" s="566">
        <f t="shared" si="44"/>
        <v>0</v>
      </c>
      <c r="H53" s="568"/>
      <c r="I53" s="565">
        <f t="shared" ref="I53" si="46">C53+E53+H53+D53+F53</f>
        <v>0</v>
      </c>
      <c r="J53" s="571"/>
      <c r="K53" s="568"/>
      <c r="L53" s="565">
        <f t="shared" si="37"/>
        <v>0</v>
      </c>
      <c r="M53" s="565">
        <f t="shared" si="38"/>
        <v>0</v>
      </c>
      <c r="N53" s="604"/>
      <c r="O53" s="358"/>
      <c r="P53" s="359"/>
      <c r="Q53" s="359"/>
      <c r="R53" s="568"/>
      <c r="S53" s="933">
        <f t="shared" si="45"/>
        <v>0</v>
      </c>
      <c r="T53" s="933"/>
      <c r="U53" s="565">
        <f t="shared" si="40"/>
        <v>0</v>
      </c>
      <c r="V53" s="571"/>
      <c r="W53" s="568"/>
      <c r="X53" s="565">
        <f t="shared" si="41"/>
        <v>0</v>
      </c>
      <c r="Y53" s="565">
        <f t="shared" si="42"/>
        <v>0</v>
      </c>
      <c r="Z53" s="601">
        <f t="shared" si="43"/>
        <v>0</v>
      </c>
      <c r="AB53" s="886"/>
      <c r="AC53" s="886"/>
      <c r="AI53" s="883">
        <f t="shared" si="9"/>
        <v>0</v>
      </c>
    </row>
    <row r="54" spans="1:35" ht="20.100000000000001" customHeight="1">
      <c r="A54" s="1521" t="s">
        <v>752</v>
      </c>
      <c r="B54" s="1522"/>
      <c r="C54" s="856">
        <f>SUM(C45:C52)</f>
        <v>274</v>
      </c>
      <c r="D54" s="856">
        <f t="shared" ref="D54:Z54" si="47">SUM(D45:D52)</f>
        <v>254</v>
      </c>
      <c r="E54" s="856">
        <f t="shared" si="47"/>
        <v>193</v>
      </c>
      <c r="F54" s="856">
        <f t="shared" si="47"/>
        <v>206</v>
      </c>
      <c r="G54" s="856">
        <f t="shared" si="47"/>
        <v>927</v>
      </c>
      <c r="H54" s="856">
        <f t="shared" si="47"/>
        <v>550</v>
      </c>
      <c r="I54" s="856">
        <f t="shared" si="47"/>
        <v>1477</v>
      </c>
      <c r="J54" s="856">
        <f t="shared" si="47"/>
        <v>137</v>
      </c>
      <c r="K54" s="856">
        <f t="shared" si="47"/>
        <v>65</v>
      </c>
      <c r="L54" s="856">
        <f t="shared" si="47"/>
        <v>202</v>
      </c>
      <c r="M54" s="856">
        <f t="shared" si="47"/>
        <v>1679</v>
      </c>
      <c r="N54" s="856">
        <f t="shared" si="47"/>
        <v>0</v>
      </c>
      <c r="O54" s="856">
        <f t="shared" si="47"/>
        <v>243</v>
      </c>
      <c r="P54" s="856">
        <f t="shared" si="47"/>
        <v>229</v>
      </c>
      <c r="Q54" s="856">
        <f t="shared" si="47"/>
        <v>155</v>
      </c>
      <c r="R54" s="856">
        <f t="shared" si="47"/>
        <v>50</v>
      </c>
      <c r="S54" s="856"/>
      <c r="T54" s="856">
        <f t="shared" si="47"/>
        <v>118</v>
      </c>
      <c r="U54" s="856">
        <f t="shared" si="47"/>
        <v>795</v>
      </c>
      <c r="V54" s="856">
        <f t="shared" si="47"/>
        <v>0</v>
      </c>
      <c r="W54" s="856">
        <f t="shared" si="47"/>
        <v>0</v>
      </c>
      <c r="X54" s="856">
        <f t="shared" si="47"/>
        <v>0</v>
      </c>
      <c r="Y54" s="856">
        <f t="shared" si="47"/>
        <v>795</v>
      </c>
      <c r="Z54" s="856">
        <f t="shared" si="47"/>
        <v>2474</v>
      </c>
      <c r="AI54" s="883">
        <f t="shared" si="9"/>
        <v>0</v>
      </c>
    </row>
    <row r="55" spans="1:35" ht="15" customHeight="1">
      <c r="A55" s="1478" t="s">
        <v>890</v>
      </c>
      <c r="B55" s="1480"/>
      <c r="C55" s="24"/>
      <c r="D55" s="24"/>
      <c r="E55" s="24"/>
      <c r="F55" s="24"/>
      <c r="G55" s="24"/>
      <c r="H55" s="24"/>
      <c r="I55" s="25"/>
      <c r="J55" s="24"/>
      <c r="K55" s="24"/>
      <c r="L55" s="25"/>
      <c r="M55" s="24"/>
      <c r="N55" s="604"/>
      <c r="O55" s="24"/>
      <c r="P55" s="24"/>
      <c r="Q55" s="24"/>
      <c r="R55" s="24"/>
      <c r="S55" s="24"/>
      <c r="T55" s="24"/>
      <c r="U55" s="25"/>
      <c r="V55" s="24"/>
      <c r="W55" s="24"/>
      <c r="X55" s="25"/>
      <c r="Y55" s="24"/>
      <c r="Z55" s="600"/>
      <c r="AI55" s="883">
        <f t="shared" si="9"/>
        <v>0</v>
      </c>
    </row>
    <row r="56" spans="1:35" s="7" customFormat="1" ht="18.95" customHeight="1">
      <c r="A56" s="903">
        <v>1</v>
      </c>
      <c r="B56" s="904" t="s">
        <v>1325</v>
      </c>
      <c r="C56" s="23">
        <f>16+28</f>
        <v>44</v>
      </c>
      <c r="D56" s="23">
        <f>24+25</f>
        <v>49</v>
      </c>
      <c r="E56" s="23">
        <f>14+31</f>
        <v>45</v>
      </c>
      <c r="F56" s="566">
        <f>10+27</f>
        <v>37</v>
      </c>
      <c r="G56" s="566">
        <f>SUM(C56:F56)</f>
        <v>175</v>
      </c>
      <c r="H56" s="566">
        <f>19+23+42</f>
        <v>84</v>
      </c>
      <c r="I56" s="565">
        <f t="shared" ref="I56:I68" si="48">C56+E56+H56+D56+F56</f>
        <v>259</v>
      </c>
      <c r="J56" s="569">
        <f>18+11</f>
        <v>29</v>
      </c>
      <c r="K56" s="566">
        <f>16+22</f>
        <v>38</v>
      </c>
      <c r="L56" s="565">
        <f>J56+K56</f>
        <v>67</v>
      </c>
      <c r="M56" s="565">
        <f>I56+L56</f>
        <v>326</v>
      </c>
      <c r="N56" s="604"/>
      <c r="O56" s="253">
        <f>22+11</f>
        <v>33</v>
      </c>
      <c r="P56" s="23"/>
      <c r="Q56" s="23">
        <v>2</v>
      </c>
      <c r="R56" s="566"/>
      <c r="S56" s="803">
        <f t="shared" ref="S56:S68" si="49">SUM(O56:R56)</f>
        <v>35</v>
      </c>
      <c r="T56" s="803">
        <f>8+7</f>
        <v>15</v>
      </c>
      <c r="U56" s="565">
        <f t="shared" ref="U56:U68" si="50">+O56+P56+Q56+R56+T56</f>
        <v>50</v>
      </c>
      <c r="V56" s="569"/>
      <c r="W56" s="566"/>
      <c r="X56" s="565">
        <f>V56+W56</f>
        <v>0</v>
      </c>
      <c r="Y56" s="565">
        <f>U56+X56</f>
        <v>50</v>
      </c>
      <c r="Z56" s="601">
        <f>Y56+M56</f>
        <v>376</v>
      </c>
      <c r="AB56" s="886">
        <f>52700*2-500</f>
        <v>104900</v>
      </c>
      <c r="AC56" s="886">
        <f>97500</f>
        <v>97500</v>
      </c>
      <c r="AI56" s="883">
        <f t="shared" si="9"/>
        <v>0</v>
      </c>
    </row>
    <row r="57" spans="1:35" s="7" customFormat="1" ht="18.95" customHeight="1">
      <c r="A57" s="905">
        <v>2</v>
      </c>
      <c r="B57" s="904" t="s">
        <v>406</v>
      </c>
      <c r="C57" s="271">
        <f>26+26</f>
        <v>52</v>
      </c>
      <c r="D57" s="271">
        <f>28+19</f>
        <v>47</v>
      </c>
      <c r="E57" s="271">
        <f>27+16</f>
        <v>43</v>
      </c>
      <c r="F57" s="738">
        <f>24+30</f>
        <v>54</v>
      </c>
      <c r="G57" s="566">
        <f t="shared" ref="G57:G68" si="51">SUM(C57:F57)</f>
        <v>196</v>
      </c>
      <c r="H57" s="738">
        <f>37+32+69</f>
        <v>138</v>
      </c>
      <c r="I57" s="565">
        <f t="shared" si="48"/>
        <v>334</v>
      </c>
      <c r="J57" s="569">
        <f>77+95</f>
        <v>172</v>
      </c>
      <c r="K57" s="566">
        <f>26+29</f>
        <v>55</v>
      </c>
      <c r="L57" s="565">
        <f t="shared" ref="L57:L68" si="52">J57+K57</f>
        <v>227</v>
      </c>
      <c r="M57" s="565">
        <f t="shared" ref="M57:M68" si="53">I57+L57</f>
        <v>561</v>
      </c>
      <c r="N57" s="604"/>
      <c r="O57" s="253">
        <f>63+34</f>
        <v>97</v>
      </c>
      <c r="P57" s="23">
        <f>48+33</f>
        <v>81</v>
      </c>
      <c r="Q57" s="23">
        <f>36+40</f>
        <v>76</v>
      </c>
      <c r="R57" s="566">
        <f>2+8</f>
        <v>10</v>
      </c>
      <c r="S57" s="803">
        <f t="shared" si="49"/>
        <v>264</v>
      </c>
      <c r="T57" s="803">
        <f>21+9+30</f>
        <v>60</v>
      </c>
      <c r="U57" s="565">
        <f t="shared" si="50"/>
        <v>324</v>
      </c>
      <c r="V57" s="569"/>
      <c r="W57" s="566"/>
      <c r="X57" s="565">
        <f t="shared" ref="X57:X68" si="54">V57+W57</f>
        <v>0</v>
      </c>
      <c r="Y57" s="565">
        <f t="shared" ref="Y57:Y68" si="55">U57+X57</f>
        <v>324</v>
      </c>
      <c r="Z57" s="601">
        <f t="shared" ref="Z57:Z68" si="56">Y57+M57</f>
        <v>885</v>
      </c>
      <c r="AB57" s="886">
        <f>52700*2-500</f>
        <v>104900</v>
      </c>
      <c r="AC57" s="886">
        <f>97500</f>
        <v>97500</v>
      </c>
      <c r="AE57" s="7">
        <f>37+32</f>
        <v>69</v>
      </c>
      <c r="AF57" s="7">
        <f>21+9</f>
        <v>30</v>
      </c>
      <c r="AG57" s="7" t="s">
        <v>1405</v>
      </c>
      <c r="AI57" s="883">
        <f t="shared" si="9"/>
        <v>0</v>
      </c>
    </row>
    <row r="58" spans="1:35" s="7" customFormat="1" ht="28.5">
      <c r="A58" s="903">
        <v>3</v>
      </c>
      <c r="B58" s="904" t="s">
        <v>1327</v>
      </c>
      <c r="C58" s="271"/>
      <c r="D58" s="271"/>
      <c r="E58" s="271"/>
      <c r="F58" s="738"/>
      <c r="G58" s="566">
        <f t="shared" si="51"/>
        <v>0</v>
      </c>
      <c r="H58" s="738"/>
      <c r="I58" s="565">
        <f t="shared" si="48"/>
        <v>0</v>
      </c>
      <c r="J58" s="569">
        <f>3+7+3</f>
        <v>13</v>
      </c>
      <c r="K58" s="566">
        <v>6</v>
      </c>
      <c r="L58" s="565">
        <f t="shared" si="52"/>
        <v>19</v>
      </c>
      <c r="M58" s="565">
        <f t="shared" si="53"/>
        <v>19</v>
      </c>
      <c r="N58" s="604"/>
      <c r="O58" s="253"/>
      <c r="P58" s="23"/>
      <c r="Q58" s="23"/>
      <c r="R58" s="566"/>
      <c r="S58" s="803">
        <f t="shared" si="49"/>
        <v>0</v>
      </c>
      <c r="T58" s="803"/>
      <c r="U58" s="565">
        <f t="shared" si="50"/>
        <v>0</v>
      </c>
      <c r="V58" s="569"/>
      <c r="W58" s="566"/>
      <c r="X58" s="565">
        <f t="shared" si="54"/>
        <v>0</v>
      </c>
      <c r="Y58" s="565">
        <f t="shared" si="55"/>
        <v>0</v>
      </c>
      <c r="Z58" s="601">
        <f t="shared" si="56"/>
        <v>19</v>
      </c>
      <c r="AB58" s="886"/>
      <c r="AC58" s="886"/>
      <c r="AI58" s="883">
        <f t="shared" si="9"/>
        <v>0</v>
      </c>
    </row>
    <row r="59" spans="1:35" s="7" customFormat="1" ht="18.95" customHeight="1">
      <c r="A59" s="905">
        <v>4</v>
      </c>
      <c r="B59" s="904" t="s">
        <v>1328</v>
      </c>
      <c r="C59" s="271">
        <f>22+13</f>
        <v>35</v>
      </c>
      <c r="D59" s="271">
        <f>24+22</f>
        <v>46</v>
      </c>
      <c r="E59" s="271">
        <f>28+7</f>
        <v>35</v>
      </c>
      <c r="F59" s="738">
        <f>20+14</f>
        <v>34</v>
      </c>
      <c r="G59" s="566">
        <f t="shared" si="51"/>
        <v>150</v>
      </c>
      <c r="H59" s="738">
        <f>21+14+35</f>
        <v>70</v>
      </c>
      <c r="I59" s="565">
        <f t="shared" si="48"/>
        <v>220</v>
      </c>
      <c r="J59" s="569">
        <f>18+29+19</f>
        <v>66</v>
      </c>
      <c r="K59" s="566">
        <f>2+2+23+14</f>
        <v>41</v>
      </c>
      <c r="L59" s="565">
        <f t="shared" si="52"/>
        <v>107</v>
      </c>
      <c r="M59" s="565">
        <f t="shared" si="53"/>
        <v>327</v>
      </c>
      <c r="N59" s="604"/>
      <c r="O59" s="253">
        <f>7+2</f>
        <v>9</v>
      </c>
      <c r="P59" s="23">
        <f>14+4</f>
        <v>18</v>
      </c>
      <c r="Q59" s="23"/>
      <c r="R59" s="566">
        <f>4+4</f>
        <v>8</v>
      </c>
      <c r="S59" s="803">
        <f t="shared" si="49"/>
        <v>35</v>
      </c>
      <c r="T59" s="803"/>
      <c r="U59" s="565">
        <f t="shared" si="50"/>
        <v>35</v>
      </c>
      <c r="V59" s="569"/>
      <c r="W59" s="566"/>
      <c r="X59" s="565">
        <f t="shared" si="54"/>
        <v>0</v>
      </c>
      <c r="Y59" s="565">
        <f t="shared" si="55"/>
        <v>35</v>
      </c>
      <c r="Z59" s="601">
        <f t="shared" si="56"/>
        <v>362</v>
      </c>
      <c r="AB59" s="886">
        <f t="shared" ref="AB59:AB60" si="57">52700*2-500</f>
        <v>104900</v>
      </c>
      <c r="AC59" s="886"/>
      <c r="AI59" s="883">
        <f t="shared" si="9"/>
        <v>0</v>
      </c>
    </row>
    <row r="60" spans="1:35" s="7" customFormat="1" ht="18.95" customHeight="1">
      <c r="A60" s="903">
        <v>5</v>
      </c>
      <c r="B60" s="904" t="s">
        <v>1326</v>
      </c>
      <c r="C60" s="271">
        <f>18+22</f>
        <v>40</v>
      </c>
      <c r="D60" s="271">
        <f>24+24</f>
        <v>48</v>
      </c>
      <c r="E60" s="271">
        <f>20+25</f>
        <v>45</v>
      </c>
      <c r="F60" s="738">
        <f>11+27</f>
        <v>38</v>
      </c>
      <c r="G60" s="566">
        <f t="shared" si="51"/>
        <v>171</v>
      </c>
      <c r="H60" s="738"/>
      <c r="I60" s="565">
        <f>C60+E60+H60+D60+F60</f>
        <v>171</v>
      </c>
      <c r="J60" s="569">
        <f>5+5+16+26</f>
        <v>52</v>
      </c>
      <c r="K60" s="566">
        <f>3+2+23+15</f>
        <v>43</v>
      </c>
      <c r="L60" s="565">
        <f>J60+K60</f>
        <v>95</v>
      </c>
      <c r="M60" s="565">
        <f>I60+L60</f>
        <v>266</v>
      </c>
      <c r="N60" s="604"/>
      <c r="O60" s="253">
        <f>11+28</f>
        <v>39</v>
      </c>
      <c r="P60" s="23">
        <f>31+17</f>
        <v>48</v>
      </c>
      <c r="Q60" s="23">
        <f>20+14</f>
        <v>34</v>
      </c>
      <c r="R60" s="566">
        <f>13+23</f>
        <v>36</v>
      </c>
      <c r="S60" s="803">
        <f t="shared" si="49"/>
        <v>157</v>
      </c>
      <c r="T60" s="803"/>
      <c r="U60" s="565">
        <f t="shared" si="50"/>
        <v>157</v>
      </c>
      <c r="V60" s="569"/>
      <c r="W60" s="566"/>
      <c r="X60" s="565">
        <f>V60+W60</f>
        <v>0</v>
      </c>
      <c r="Y60" s="565">
        <f>U60+X60</f>
        <v>157</v>
      </c>
      <c r="Z60" s="601">
        <f>Y60+M60</f>
        <v>423</v>
      </c>
      <c r="AB60" s="886">
        <f t="shared" si="57"/>
        <v>104900</v>
      </c>
      <c r="AC60" s="886"/>
      <c r="AI60" s="883">
        <f t="shared" si="9"/>
        <v>0</v>
      </c>
    </row>
    <row r="61" spans="1:35" s="7" customFormat="1" ht="18.95" customHeight="1">
      <c r="A61" s="905">
        <v>6</v>
      </c>
      <c r="B61" s="904" t="s">
        <v>432</v>
      </c>
      <c r="C61" s="271">
        <f>11+28</f>
        <v>39</v>
      </c>
      <c r="D61" s="271">
        <f>13+34</f>
        <v>47</v>
      </c>
      <c r="E61" s="271">
        <f>15+24</f>
        <v>39</v>
      </c>
      <c r="F61" s="738">
        <f>20+22</f>
        <v>42</v>
      </c>
      <c r="G61" s="566">
        <f t="shared" si="51"/>
        <v>167</v>
      </c>
      <c r="H61" s="738"/>
      <c r="I61" s="565">
        <f>C61+E61+H61+D61+F61</f>
        <v>167</v>
      </c>
      <c r="J61" s="569"/>
      <c r="K61" s="566"/>
      <c r="L61" s="565">
        <f>J61+K61</f>
        <v>0</v>
      </c>
      <c r="M61" s="565">
        <f>I61+L61</f>
        <v>167</v>
      </c>
      <c r="N61" s="604"/>
      <c r="O61" s="253">
        <f>27+17</f>
        <v>44</v>
      </c>
      <c r="P61" s="23">
        <f>21+31</f>
        <v>52</v>
      </c>
      <c r="Q61" s="23">
        <f>16+21</f>
        <v>37</v>
      </c>
      <c r="R61" s="566">
        <f>12+25</f>
        <v>37</v>
      </c>
      <c r="S61" s="803">
        <f t="shared" si="49"/>
        <v>170</v>
      </c>
      <c r="T61" s="803"/>
      <c r="U61" s="565">
        <f t="shared" si="50"/>
        <v>170</v>
      </c>
      <c r="V61" s="569"/>
      <c r="W61" s="566"/>
      <c r="X61" s="565">
        <f>V61+W61</f>
        <v>0</v>
      </c>
      <c r="Y61" s="565">
        <f>U61+X61</f>
        <v>170</v>
      </c>
      <c r="Z61" s="601">
        <f>Y61+M61</f>
        <v>337</v>
      </c>
      <c r="AB61" s="886">
        <f>52700*2-500</f>
        <v>104900</v>
      </c>
      <c r="AC61" s="886"/>
      <c r="AI61" s="883">
        <f t="shared" si="9"/>
        <v>0</v>
      </c>
    </row>
    <row r="62" spans="1:35" s="7" customFormat="1" ht="18.95" customHeight="1">
      <c r="A62" s="903">
        <v>7</v>
      </c>
      <c r="B62" s="904" t="s">
        <v>1329</v>
      </c>
      <c r="C62" s="271">
        <f>38+1</f>
        <v>39</v>
      </c>
      <c r="D62" s="271">
        <f>31+4</f>
        <v>35</v>
      </c>
      <c r="E62" s="271">
        <f>43+7</f>
        <v>50</v>
      </c>
      <c r="F62" s="738">
        <f>32+3</f>
        <v>35</v>
      </c>
      <c r="G62" s="566">
        <f t="shared" si="51"/>
        <v>159</v>
      </c>
      <c r="H62" s="738"/>
      <c r="I62" s="565">
        <f t="shared" si="48"/>
        <v>159</v>
      </c>
      <c r="J62" s="569"/>
      <c r="K62" s="566"/>
      <c r="L62" s="565">
        <f t="shared" si="52"/>
        <v>0</v>
      </c>
      <c r="M62" s="565">
        <f t="shared" si="53"/>
        <v>159</v>
      </c>
      <c r="N62" s="604"/>
      <c r="O62" s="253"/>
      <c r="P62" s="23"/>
      <c r="Q62" s="23"/>
      <c r="R62" s="566"/>
      <c r="S62" s="803">
        <f t="shared" si="49"/>
        <v>0</v>
      </c>
      <c r="T62" s="803"/>
      <c r="U62" s="565">
        <f t="shared" si="50"/>
        <v>0</v>
      </c>
      <c r="V62" s="569"/>
      <c r="W62" s="566"/>
      <c r="X62" s="565">
        <f t="shared" si="54"/>
        <v>0</v>
      </c>
      <c r="Y62" s="565">
        <f t="shared" si="55"/>
        <v>0</v>
      </c>
      <c r="Z62" s="601">
        <f t="shared" si="56"/>
        <v>159</v>
      </c>
      <c r="AB62" s="886"/>
      <c r="AC62" s="886"/>
      <c r="AE62" s="7">
        <v>10</v>
      </c>
      <c r="AF62" s="7" t="s">
        <v>1350</v>
      </c>
      <c r="AI62" s="883">
        <f t="shared" si="9"/>
        <v>0</v>
      </c>
    </row>
    <row r="63" spans="1:35" s="7" customFormat="1" ht="18.95" customHeight="1">
      <c r="A63" s="905">
        <v>8</v>
      </c>
      <c r="B63" s="904" t="s">
        <v>1319</v>
      </c>
      <c r="C63" s="23">
        <f>55+4</f>
        <v>59</v>
      </c>
      <c r="D63" s="23">
        <f>57+8</f>
        <v>65</v>
      </c>
      <c r="E63" s="23">
        <f>44+7</f>
        <v>51</v>
      </c>
      <c r="F63" s="566">
        <f>20+7</f>
        <v>27</v>
      </c>
      <c r="G63" s="566">
        <f t="shared" si="51"/>
        <v>202</v>
      </c>
      <c r="H63" s="566">
        <f>64+21</f>
        <v>85</v>
      </c>
      <c r="I63" s="565">
        <f>C63+E63+H63+D63+F63</f>
        <v>287</v>
      </c>
      <c r="J63" s="569">
        <f>14+53+3+6</f>
        <v>76</v>
      </c>
      <c r="K63" s="566">
        <f>3+19+4</f>
        <v>26</v>
      </c>
      <c r="L63" s="565">
        <f>J63+K63</f>
        <v>102</v>
      </c>
      <c r="M63" s="565">
        <f>I63+L63</f>
        <v>389</v>
      </c>
      <c r="N63" s="604"/>
      <c r="O63" s="253"/>
      <c r="P63" s="23">
        <f>54+8</f>
        <v>62</v>
      </c>
      <c r="Q63" s="23">
        <f>30+5</f>
        <v>35</v>
      </c>
      <c r="R63" s="566">
        <f>15+2</f>
        <v>17</v>
      </c>
      <c r="S63" s="803">
        <f t="shared" si="49"/>
        <v>114</v>
      </c>
      <c r="T63" s="803">
        <f>68+7</f>
        <v>75</v>
      </c>
      <c r="U63" s="565">
        <f t="shared" si="50"/>
        <v>189</v>
      </c>
      <c r="V63" s="569"/>
      <c r="W63" s="566"/>
      <c r="X63" s="565">
        <f>V63+W63</f>
        <v>0</v>
      </c>
      <c r="Y63" s="565">
        <f>U63+X63</f>
        <v>189</v>
      </c>
      <c r="Z63" s="601">
        <f>Y63+M63</f>
        <v>578</v>
      </c>
      <c r="AB63" s="886">
        <f t="shared" ref="AB63:AB66" si="58">52700*2-500</f>
        <v>104900</v>
      </c>
      <c r="AC63" s="886">
        <f>97500</f>
        <v>97500</v>
      </c>
      <c r="AE63" s="7">
        <f>64+21</f>
        <v>85</v>
      </c>
      <c r="AF63" s="7">
        <f>68+7</f>
        <v>75</v>
      </c>
      <c r="AG63" s="7" t="s">
        <v>1350</v>
      </c>
      <c r="AI63" s="883">
        <f t="shared" si="9"/>
        <v>0</v>
      </c>
    </row>
    <row r="64" spans="1:35" s="7" customFormat="1" ht="18.95" customHeight="1">
      <c r="A64" s="903">
        <v>9</v>
      </c>
      <c r="B64" s="904" t="s">
        <v>417</v>
      </c>
      <c r="C64" s="238">
        <f>42+7</f>
        <v>49</v>
      </c>
      <c r="D64" s="238">
        <f>41+11</f>
        <v>52</v>
      </c>
      <c r="E64" s="238">
        <f>49+5</f>
        <v>54</v>
      </c>
      <c r="F64" s="567">
        <f>27+7</f>
        <v>34</v>
      </c>
      <c r="G64" s="566">
        <f t="shared" si="51"/>
        <v>189</v>
      </c>
      <c r="H64" s="567">
        <f>94+21+100</f>
        <v>215</v>
      </c>
      <c r="I64" s="565">
        <f>C64+E64+H64+D64+F64</f>
        <v>404</v>
      </c>
      <c r="J64" s="570">
        <f>47+21</f>
        <v>68</v>
      </c>
      <c r="K64" s="567">
        <f>16+6</f>
        <v>22</v>
      </c>
      <c r="L64" s="565">
        <f>J64+K64</f>
        <v>90</v>
      </c>
      <c r="M64" s="565">
        <f>I64+L64</f>
        <v>494</v>
      </c>
      <c r="N64" s="604"/>
      <c r="O64" s="256">
        <f>45+6</f>
        <v>51</v>
      </c>
      <c r="P64" s="238">
        <f>60+8</f>
        <v>68</v>
      </c>
      <c r="Q64" s="238">
        <f>28+3</f>
        <v>31</v>
      </c>
      <c r="R64" s="567">
        <v>9</v>
      </c>
      <c r="S64" s="567">
        <f t="shared" si="49"/>
        <v>159</v>
      </c>
      <c r="T64" s="804"/>
      <c r="U64" s="565">
        <f t="shared" si="50"/>
        <v>159</v>
      </c>
      <c r="V64" s="570"/>
      <c r="W64" s="567"/>
      <c r="X64" s="565">
        <f>V64+W64</f>
        <v>0</v>
      </c>
      <c r="Y64" s="565">
        <f>U64+X64</f>
        <v>159</v>
      </c>
      <c r="Z64" s="601">
        <f>Y64+M64</f>
        <v>653</v>
      </c>
      <c r="AB64" s="886">
        <f t="shared" si="58"/>
        <v>104900</v>
      </c>
      <c r="AC64" s="886"/>
      <c r="AI64" s="883">
        <f t="shared" si="9"/>
        <v>0</v>
      </c>
    </row>
    <row r="65" spans="1:35" s="7" customFormat="1" ht="18.95" customHeight="1">
      <c r="A65" s="905">
        <v>10</v>
      </c>
      <c r="B65" s="904" t="s">
        <v>412</v>
      </c>
      <c r="C65" s="238">
        <f>28+15</f>
        <v>43</v>
      </c>
      <c r="D65" s="238">
        <f>34+13</f>
        <v>47</v>
      </c>
      <c r="E65" s="238">
        <f>31+9</f>
        <v>40</v>
      </c>
      <c r="F65" s="567">
        <f>36+10</f>
        <v>46</v>
      </c>
      <c r="G65" s="566">
        <f t="shared" si="51"/>
        <v>176</v>
      </c>
      <c r="H65" s="567">
        <f>50+50</f>
        <v>100</v>
      </c>
      <c r="I65" s="565">
        <f>C65+E65+H65+D65+F65</f>
        <v>276</v>
      </c>
      <c r="J65" s="570">
        <f>29+13</f>
        <v>42</v>
      </c>
      <c r="K65" s="567">
        <f>26+8</f>
        <v>34</v>
      </c>
      <c r="L65" s="565">
        <f>J65+K65</f>
        <v>76</v>
      </c>
      <c r="M65" s="565">
        <f>I65+L65</f>
        <v>352</v>
      </c>
      <c r="N65" s="604"/>
      <c r="O65" s="256">
        <f>14+7</f>
        <v>21</v>
      </c>
      <c r="P65" s="238">
        <f>41+19</f>
        <v>60</v>
      </c>
      <c r="Q65" s="238">
        <f>17+3</f>
        <v>20</v>
      </c>
      <c r="R65" s="567">
        <f>7+1</f>
        <v>8</v>
      </c>
      <c r="S65" s="803">
        <f t="shared" si="49"/>
        <v>109</v>
      </c>
      <c r="T65" s="804">
        <v>3</v>
      </c>
      <c r="U65" s="565">
        <f t="shared" si="50"/>
        <v>112</v>
      </c>
      <c r="V65" s="570"/>
      <c r="W65" s="567"/>
      <c r="X65" s="565">
        <f>V65+W65</f>
        <v>0</v>
      </c>
      <c r="Y65" s="565">
        <f>U65+X65</f>
        <v>112</v>
      </c>
      <c r="Z65" s="601">
        <f>Y65+M65</f>
        <v>464</v>
      </c>
      <c r="AB65" s="886">
        <f t="shared" si="58"/>
        <v>104900</v>
      </c>
      <c r="AC65" s="886">
        <f t="shared" ref="AC65:AC66" si="59">97500</f>
        <v>97500</v>
      </c>
      <c r="AE65" s="7">
        <f>37+13</f>
        <v>50</v>
      </c>
      <c r="AF65" s="7">
        <v>3</v>
      </c>
      <c r="AG65" s="7" t="s">
        <v>1405</v>
      </c>
      <c r="AI65" s="883">
        <f t="shared" si="9"/>
        <v>0</v>
      </c>
    </row>
    <row r="66" spans="1:35" s="7" customFormat="1" ht="18.95" customHeight="1">
      <c r="A66" s="903">
        <v>11</v>
      </c>
      <c r="B66" s="904" t="s">
        <v>438</v>
      </c>
      <c r="C66" s="271">
        <f>31+29</f>
        <v>60</v>
      </c>
      <c r="D66" s="271">
        <f>16+25</f>
        <v>41</v>
      </c>
      <c r="E66" s="271">
        <f>19+24</f>
        <v>43</v>
      </c>
      <c r="F66" s="738">
        <f>23+29</f>
        <v>52</v>
      </c>
      <c r="G66" s="566">
        <f t="shared" si="51"/>
        <v>196</v>
      </c>
      <c r="H66" s="738">
        <f>24+23+47</f>
        <v>94</v>
      </c>
      <c r="I66" s="565">
        <f t="shared" ref="I66:I67" si="60">C66+E66+H66+D66+F66</f>
        <v>290</v>
      </c>
      <c r="J66" s="569">
        <f>23+65</f>
        <v>88</v>
      </c>
      <c r="K66" s="566">
        <v>45</v>
      </c>
      <c r="L66" s="565">
        <f t="shared" si="52"/>
        <v>133</v>
      </c>
      <c r="M66" s="565">
        <f t="shared" si="53"/>
        <v>423</v>
      </c>
      <c r="N66" s="604"/>
      <c r="O66" s="253">
        <f>22+16</f>
        <v>38</v>
      </c>
      <c r="P66" s="23">
        <f>32+20</f>
        <v>52</v>
      </c>
      <c r="Q66" s="23">
        <f>31+14</f>
        <v>45</v>
      </c>
      <c r="R66" s="566">
        <f>14+16</f>
        <v>30</v>
      </c>
      <c r="S66" s="803">
        <f t="shared" si="49"/>
        <v>165</v>
      </c>
      <c r="T66" s="803">
        <f>33+6</f>
        <v>39</v>
      </c>
      <c r="U66" s="565">
        <f t="shared" si="50"/>
        <v>204</v>
      </c>
      <c r="V66" s="569"/>
      <c r="W66" s="566"/>
      <c r="X66" s="565">
        <f t="shared" si="54"/>
        <v>0</v>
      </c>
      <c r="Y66" s="565">
        <f t="shared" si="55"/>
        <v>204</v>
      </c>
      <c r="Z66" s="601">
        <f t="shared" si="56"/>
        <v>627</v>
      </c>
      <c r="AB66" s="886">
        <f t="shared" si="58"/>
        <v>104900</v>
      </c>
      <c r="AC66" s="886">
        <f t="shared" si="59"/>
        <v>97500</v>
      </c>
      <c r="AI66" s="883">
        <f t="shared" si="9"/>
        <v>0</v>
      </c>
    </row>
    <row r="67" spans="1:35" s="7" customFormat="1" ht="18.95" customHeight="1">
      <c r="A67" s="905">
        <v>12</v>
      </c>
      <c r="B67" s="904" t="s">
        <v>1440</v>
      </c>
      <c r="C67" s="271"/>
      <c r="D67" s="271"/>
      <c r="E67" s="271"/>
      <c r="F67" s="738"/>
      <c r="G67" s="566">
        <f t="shared" si="51"/>
        <v>0</v>
      </c>
      <c r="H67" s="738"/>
      <c r="I67" s="565">
        <f t="shared" si="60"/>
        <v>0</v>
      </c>
      <c r="J67" s="569">
        <f>3+7+3</f>
        <v>13</v>
      </c>
      <c r="K67" s="566">
        <v>6</v>
      </c>
      <c r="L67" s="565">
        <f t="shared" ref="L67" si="61">J67+K67</f>
        <v>19</v>
      </c>
      <c r="M67" s="565">
        <f t="shared" ref="M67" si="62">I67+L67</f>
        <v>19</v>
      </c>
      <c r="N67" s="604"/>
      <c r="O67" s="253"/>
      <c r="P67" s="23"/>
      <c r="Q67" s="23"/>
      <c r="R67" s="566"/>
      <c r="S67" s="803">
        <f t="shared" si="49"/>
        <v>0</v>
      </c>
      <c r="T67" s="803"/>
      <c r="U67" s="565">
        <f t="shared" si="50"/>
        <v>0</v>
      </c>
      <c r="V67" s="569"/>
      <c r="W67" s="566"/>
      <c r="X67" s="565"/>
      <c r="Y67" s="565">
        <f t="shared" ref="Y67" si="63">U67+X67</f>
        <v>0</v>
      </c>
      <c r="Z67" s="601">
        <f t="shared" ref="Z67" si="64">Y67+M67</f>
        <v>19</v>
      </c>
      <c r="AB67" s="886"/>
      <c r="AC67" s="886"/>
      <c r="AI67" s="883">
        <f t="shared" si="9"/>
        <v>0</v>
      </c>
    </row>
    <row r="68" spans="1:35" s="7" customFormat="1" ht="18.95" customHeight="1">
      <c r="A68" s="903">
        <v>13</v>
      </c>
      <c r="B68" s="904" t="s">
        <v>1345</v>
      </c>
      <c r="C68" s="271">
        <v>61</v>
      </c>
      <c r="D68" s="271"/>
      <c r="E68" s="271"/>
      <c r="F68" s="738"/>
      <c r="G68" s="566">
        <f t="shared" si="51"/>
        <v>61</v>
      </c>
      <c r="H68" s="738"/>
      <c r="I68" s="565">
        <f t="shared" si="48"/>
        <v>61</v>
      </c>
      <c r="J68" s="569"/>
      <c r="K68" s="566"/>
      <c r="L68" s="565">
        <f t="shared" si="52"/>
        <v>0</v>
      </c>
      <c r="M68" s="565">
        <f t="shared" si="53"/>
        <v>61</v>
      </c>
      <c r="N68" s="604"/>
      <c r="O68" s="253"/>
      <c r="P68" s="23"/>
      <c r="Q68" s="23"/>
      <c r="R68" s="566"/>
      <c r="S68" s="803">
        <f t="shared" si="49"/>
        <v>0</v>
      </c>
      <c r="T68" s="803"/>
      <c r="U68" s="565">
        <f t="shared" si="50"/>
        <v>0</v>
      </c>
      <c r="V68" s="569"/>
      <c r="W68" s="566"/>
      <c r="X68" s="565">
        <f t="shared" si="54"/>
        <v>0</v>
      </c>
      <c r="Y68" s="565">
        <f t="shared" si="55"/>
        <v>0</v>
      </c>
      <c r="Z68" s="601">
        <f t="shared" si="56"/>
        <v>61</v>
      </c>
      <c r="AB68" s="886"/>
      <c r="AC68" s="886"/>
      <c r="AI68" s="883">
        <f t="shared" si="9"/>
        <v>0</v>
      </c>
    </row>
    <row r="69" spans="1:35" ht="20.100000000000001" customHeight="1">
      <c r="A69" s="1521" t="s">
        <v>752</v>
      </c>
      <c r="B69" s="1522"/>
      <c r="C69" s="856">
        <f>SUM(C56:C68)</f>
        <v>521</v>
      </c>
      <c r="D69" s="856">
        <f t="shared" ref="D69:Z69" si="65">SUM(D56:D68)</f>
        <v>477</v>
      </c>
      <c r="E69" s="856">
        <f t="shared" si="65"/>
        <v>445</v>
      </c>
      <c r="F69" s="856">
        <f t="shared" si="65"/>
        <v>399</v>
      </c>
      <c r="G69" s="856">
        <f t="shared" si="65"/>
        <v>1842</v>
      </c>
      <c r="H69" s="856">
        <f t="shared" si="65"/>
        <v>786</v>
      </c>
      <c r="I69" s="856">
        <f t="shared" si="65"/>
        <v>2628</v>
      </c>
      <c r="J69" s="856">
        <f t="shared" si="65"/>
        <v>619</v>
      </c>
      <c r="K69" s="856">
        <f t="shared" si="65"/>
        <v>316</v>
      </c>
      <c r="L69" s="856">
        <f t="shared" si="65"/>
        <v>935</v>
      </c>
      <c r="M69" s="856">
        <f t="shared" si="65"/>
        <v>3563</v>
      </c>
      <c r="N69" s="856">
        <f t="shared" si="65"/>
        <v>0</v>
      </c>
      <c r="O69" s="856">
        <f t="shared" si="65"/>
        <v>332</v>
      </c>
      <c r="P69" s="856">
        <f t="shared" si="65"/>
        <v>441</v>
      </c>
      <c r="Q69" s="856">
        <f t="shared" si="65"/>
        <v>280</v>
      </c>
      <c r="R69" s="856">
        <f t="shared" si="65"/>
        <v>155</v>
      </c>
      <c r="S69" s="856">
        <f t="shared" si="65"/>
        <v>1208</v>
      </c>
      <c r="T69" s="856">
        <f t="shared" si="65"/>
        <v>192</v>
      </c>
      <c r="U69" s="856">
        <f t="shared" si="65"/>
        <v>1400</v>
      </c>
      <c r="V69" s="856">
        <f t="shared" si="65"/>
        <v>0</v>
      </c>
      <c r="W69" s="856">
        <f t="shared" si="65"/>
        <v>0</v>
      </c>
      <c r="X69" s="856">
        <f t="shared" si="65"/>
        <v>0</v>
      </c>
      <c r="Y69" s="856">
        <f t="shared" si="65"/>
        <v>1400</v>
      </c>
      <c r="Z69" s="856">
        <f t="shared" si="65"/>
        <v>4963</v>
      </c>
      <c r="AI69" s="883">
        <f t="shared" si="9"/>
        <v>0</v>
      </c>
    </row>
    <row r="70" spans="1:35" ht="20.100000000000001" customHeight="1">
      <c r="A70" s="1478" t="s">
        <v>742</v>
      </c>
      <c r="B70" s="1480"/>
      <c r="C70" s="24"/>
      <c r="D70" s="24"/>
      <c r="E70" s="24"/>
      <c r="F70" s="24"/>
      <c r="G70" s="24"/>
      <c r="H70" s="24"/>
      <c r="I70" s="25"/>
      <c r="J70" s="24"/>
      <c r="K70" s="24"/>
      <c r="L70" s="25"/>
      <c r="M70" s="24"/>
      <c r="N70" s="604"/>
      <c r="O70" s="24"/>
      <c r="P70" s="24"/>
      <c r="Q70" s="24"/>
      <c r="R70" s="24"/>
      <c r="S70" s="24"/>
      <c r="T70" s="24"/>
      <c r="U70" s="25"/>
      <c r="V70" s="24"/>
      <c r="W70" s="24"/>
      <c r="X70" s="25"/>
      <c r="Y70" s="24"/>
      <c r="Z70" s="600"/>
      <c r="AI70" s="883">
        <f t="shared" si="9"/>
        <v>0</v>
      </c>
    </row>
    <row r="71" spans="1:35" s="7" customFormat="1" ht="20.100000000000001" customHeight="1">
      <c r="A71" s="240">
        <v>1</v>
      </c>
      <c r="B71" s="242"/>
      <c r="C71" s="23"/>
      <c r="D71" s="23"/>
      <c r="E71" s="23"/>
      <c r="F71" s="566"/>
      <c r="G71" s="566"/>
      <c r="H71" s="566"/>
      <c r="I71" s="565">
        <f t="shared" ref="I71:I76" si="66">C71+E71+H71+D71</f>
        <v>0</v>
      </c>
      <c r="J71" s="569"/>
      <c r="K71" s="566"/>
      <c r="L71" s="565">
        <f t="shared" ref="L71:L76" si="67">J71+K71</f>
        <v>0</v>
      </c>
      <c r="M71" s="565">
        <f t="shared" ref="M71:M76" si="68">I71+L71</f>
        <v>0</v>
      </c>
      <c r="N71" s="604"/>
      <c r="O71" s="253"/>
      <c r="P71" s="23"/>
      <c r="Q71" s="23"/>
      <c r="R71" s="566"/>
      <c r="S71" s="933">
        <f t="shared" ref="S71:S76" si="69">SUM(O71:R71)</f>
        <v>0</v>
      </c>
      <c r="T71" s="933"/>
      <c r="U71" s="565">
        <f t="shared" ref="U71:U76" si="70">SUM(S71:T71)</f>
        <v>0</v>
      </c>
      <c r="V71" s="569"/>
      <c r="W71" s="566"/>
      <c r="X71" s="565">
        <f t="shared" ref="X71:X76" si="71">V71+W71</f>
        <v>0</v>
      </c>
      <c r="Y71" s="565">
        <f t="shared" ref="Y71:Y76" si="72">U71+X71</f>
        <v>0</v>
      </c>
      <c r="Z71" s="601">
        <f t="shared" ref="Z71:Z77" si="73">Y71+M71</f>
        <v>0</v>
      </c>
      <c r="AB71" s="886"/>
      <c r="AC71" s="886"/>
      <c r="AI71" s="883">
        <f t="shared" si="9"/>
        <v>0</v>
      </c>
    </row>
    <row r="72" spans="1:35" s="7" customFormat="1" ht="20.100000000000001" customHeight="1">
      <c r="A72" s="241">
        <v>2</v>
      </c>
      <c r="B72" s="243"/>
      <c r="C72" s="238"/>
      <c r="D72" s="238"/>
      <c r="E72" s="238"/>
      <c r="F72" s="567"/>
      <c r="G72" s="567"/>
      <c r="H72" s="567"/>
      <c r="I72" s="565">
        <f t="shared" si="66"/>
        <v>0</v>
      </c>
      <c r="J72" s="570"/>
      <c r="K72" s="567"/>
      <c r="L72" s="565">
        <f t="shared" si="67"/>
        <v>0</v>
      </c>
      <c r="M72" s="565">
        <f t="shared" si="68"/>
        <v>0</v>
      </c>
      <c r="N72" s="604"/>
      <c r="O72" s="256"/>
      <c r="P72" s="238"/>
      <c r="Q72" s="238"/>
      <c r="R72" s="567"/>
      <c r="S72" s="933">
        <f t="shared" si="69"/>
        <v>0</v>
      </c>
      <c r="T72" s="933"/>
      <c r="U72" s="565">
        <f t="shared" si="70"/>
        <v>0</v>
      </c>
      <c r="V72" s="570"/>
      <c r="W72" s="567"/>
      <c r="X72" s="565">
        <f t="shared" si="71"/>
        <v>0</v>
      </c>
      <c r="Y72" s="565">
        <f t="shared" si="72"/>
        <v>0</v>
      </c>
      <c r="Z72" s="601">
        <f t="shared" si="73"/>
        <v>0</v>
      </c>
      <c r="AB72" s="886"/>
      <c r="AC72" s="886"/>
      <c r="AI72" s="883">
        <f t="shared" si="9"/>
        <v>0</v>
      </c>
    </row>
    <row r="73" spans="1:35" s="7" customFormat="1" ht="20.100000000000001" customHeight="1">
      <c r="A73" s="241">
        <v>3</v>
      </c>
      <c r="B73" s="243"/>
      <c r="C73" s="238"/>
      <c r="D73" s="238"/>
      <c r="E73" s="238"/>
      <c r="F73" s="567"/>
      <c r="G73" s="567"/>
      <c r="H73" s="567"/>
      <c r="I73" s="565">
        <f t="shared" si="66"/>
        <v>0</v>
      </c>
      <c r="J73" s="570"/>
      <c r="K73" s="567"/>
      <c r="L73" s="565">
        <f t="shared" si="67"/>
        <v>0</v>
      </c>
      <c r="M73" s="565">
        <f t="shared" si="68"/>
        <v>0</v>
      </c>
      <c r="N73" s="604"/>
      <c r="O73" s="256"/>
      <c r="P73" s="238"/>
      <c r="Q73" s="238"/>
      <c r="R73" s="567"/>
      <c r="S73" s="933">
        <f t="shared" si="69"/>
        <v>0</v>
      </c>
      <c r="T73" s="933"/>
      <c r="U73" s="565">
        <f t="shared" si="70"/>
        <v>0</v>
      </c>
      <c r="V73" s="570"/>
      <c r="W73" s="567"/>
      <c r="X73" s="565">
        <f t="shared" si="71"/>
        <v>0</v>
      </c>
      <c r="Y73" s="565">
        <f t="shared" si="72"/>
        <v>0</v>
      </c>
      <c r="Z73" s="601">
        <f t="shared" si="73"/>
        <v>0</v>
      </c>
      <c r="AB73" s="886"/>
      <c r="AC73" s="886"/>
      <c r="AI73" s="883">
        <f t="shared" si="9"/>
        <v>0</v>
      </c>
    </row>
    <row r="74" spans="1:35" s="7" customFormat="1" ht="20.100000000000001" customHeight="1">
      <c r="A74" s="241">
        <v>4</v>
      </c>
      <c r="B74" s="243"/>
      <c r="C74" s="238"/>
      <c r="D74" s="238"/>
      <c r="E74" s="238"/>
      <c r="F74" s="567"/>
      <c r="G74" s="567"/>
      <c r="H74" s="567"/>
      <c r="I74" s="565">
        <f t="shared" si="66"/>
        <v>0</v>
      </c>
      <c r="J74" s="570"/>
      <c r="K74" s="567"/>
      <c r="L74" s="565">
        <f t="shared" si="67"/>
        <v>0</v>
      </c>
      <c r="M74" s="565">
        <f t="shared" si="68"/>
        <v>0</v>
      </c>
      <c r="N74" s="604"/>
      <c r="O74" s="256"/>
      <c r="P74" s="238"/>
      <c r="Q74" s="238"/>
      <c r="R74" s="567"/>
      <c r="S74" s="933">
        <f t="shared" si="69"/>
        <v>0</v>
      </c>
      <c r="T74" s="933"/>
      <c r="U74" s="565">
        <f t="shared" si="70"/>
        <v>0</v>
      </c>
      <c r="V74" s="570"/>
      <c r="W74" s="567"/>
      <c r="X74" s="565">
        <f t="shared" si="71"/>
        <v>0</v>
      </c>
      <c r="Y74" s="565">
        <f t="shared" si="72"/>
        <v>0</v>
      </c>
      <c r="Z74" s="601">
        <f t="shared" si="73"/>
        <v>0</v>
      </c>
      <c r="AB74" s="886"/>
      <c r="AC74" s="886"/>
      <c r="AI74" s="883">
        <f t="shared" si="9"/>
        <v>0</v>
      </c>
    </row>
    <row r="75" spans="1:35" s="7" customFormat="1" ht="20.100000000000001" customHeight="1">
      <c r="A75" s="241">
        <v>5</v>
      </c>
      <c r="B75" s="243"/>
      <c r="C75" s="238"/>
      <c r="D75" s="238"/>
      <c r="E75" s="238"/>
      <c r="F75" s="567"/>
      <c r="G75" s="567"/>
      <c r="H75" s="567"/>
      <c r="I75" s="565">
        <f t="shared" si="66"/>
        <v>0</v>
      </c>
      <c r="J75" s="570"/>
      <c r="K75" s="567"/>
      <c r="L75" s="565">
        <f t="shared" si="67"/>
        <v>0</v>
      </c>
      <c r="M75" s="565">
        <f t="shared" si="68"/>
        <v>0</v>
      </c>
      <c r="N75" s="604"/>
      <c r="O75" s="256"/>
      <c r="P75" s="238"/>
      <c r="Q75" s="238"/>
      <c r="R75" s="567"/>
      <c r="S75" s="933">
        <f t="shared" si="69"/>
        <v>0</v>
      </c>
      <c r="T75" s="933"/>
      <c r="U75" s="565">
        <f t="shared" si="70"/>
        <v>0</v>
      </c>
      <c r="V75" s="570"/>
      <c r="W75" s="567"/>
      <c r="X75" s="565">
        <f t="shared" si="71"/>
        <v>0</v>
      </c>
      <c r="Y75" s="565">
        <f t="shared" si="72"/>
        <v>0</v>
      </c>
      <c r="Z75" s="601">
        <f t="shared" si="73"/>
        <v>0</v>
      </c>
      <c r="AB75" s="886"/>
      <c r="AC75" s="886"/>
      <c r="AI75" s="883">
        <f t="shared" si="9"/>
        <v>0</v>
      </c>
    </row>
    <row r="76" spans="1:35" s="7" customFormat="1" ht="20.100000000000001" customHeight="1">
      <c r="A76" s="561">
        <v>6</v>
      </c>
      <c r="B76" s="562"/>
      <c r="C76" s="359"/>
      <c r="D76" s="359"/>
      <c r="E76" s="359"/>
      <c r="F76" s="568"/>
      <c r="G76" s="568"/>
      <c r="H76" s="568"/>
      <c r="I76" s="565">
        <f t="shared" si="66"/>
        <v>0</v>
      </c>
      <c r="J76" s="571"/>
      <c r="K76" s="568"/>
      <c r="L76" s="565">
        <f t="shared" si="67"/>
        <v>0</v>
      </c>
      <c r="M76" s="565">
        <f t="shared" si="68"/>
        <v>0</v>
      </c>
      <c r="N76" s="604"/>
      <c r="O76" s="358"/>
      <c r="P76" s="359"/>
      <c r="Q76" s="359"/>
      <c r="R76" s="568"/>
      <c r="S76" s="933">
        <f t="shared" si="69"/>
        <v>0</v>
      </c>
      <c r="T76" s="933"/>
      <c r="U76" s="565">
        <f t="shared" si="70"/>
        <v>0</v>
      </c>
      <c r="V76" s="571"/>
      <c r="W76" s="568"/>
      <c r="X76" s="565">
        <f t="shared" si="71"/>
        <v>0</v>
      </c>
      <c r="Y76" s="565">
        <f t="shared" si="72"/>
        <v>0</v>
      </c>
      <c r="Z76" s="601">
        <f t="shared" si="73"/>
        <v>0</v>
      </c>
      <c r="AB76" s="886"/>
      <c r="AC76" s="886"/>
      <c r="AI76" s="883">
        <f t="shared" si="9"/>
        <v>0</v>
      </c>
    </row>
    <row r="77" spans="1:35" ht="20.100000000000001" customHeight="1">
      <c r="A77" s="1521" t="s">
        <v>752</v>
      </c>
      <c r="B77" s="1522"/>
      <c r="C77" s="560">
        <f>SUM(C71:C75)</f>
        <v>0</v>
      </c>
      <c r="D77" s="560">
        <f t="shared" ref="D77:M77" si="74">SUM(D71:D75)</f>
        <v>0</v>
      </c>
      <c r="E77" s="560">
        <f t="shared" si="74"/>
        <v>0</v>
      </c>
      <c r="F77" s="560">
        <f>SUM(F71:F75)</f>
        <v>0</v>
      </c>
      <c r="G77" s="560"/>
      <c r="H77" s="560">
        <f t="shared" si="74"/>
        <v>0</v>
      </c>
      <c r="I77" s="560">
        <f t="shared" si="74"/>
        <v>0</v>
      </c>
      <c r="J77" s="560">
        <f t="shared" si="74"/>
        <v>0</v>
      </c>
      <c r="K77" s="560">
        <f t="shared" si="74"/>
        <v>0</v>
      </c>
      <c r="L77" s="560">
        <f t="shared" si="74"/>
        <v>0</v>
      </c>
      <c r="M77" s="560">
        <f t="shared" si="74"/>
        <v>0</v>
      </c>
      <c r="N77" s="604"/>
      <c r="O77" s="560">
        <f>SUM(O71:O75)</f>
        <v>0</v>
      </c>
      <c r="P77" s="560">
        <f t="shared" ref="P77:Y77" si="75">SUM(P71:P75)</f>
        <v>0</v>
      </c>
      <c r="Q77" s="560">
        <f t="shared" si="75"/>
        <v>0</v>
      </c>
      <c r="R77" s="560">
        <f t="shared" si="75"/>
        <v>0</v>
      </c>
      <c r="S77" s="560"/>
      <c r="T77" s="560"/>
      <c r="U77" s="560">
        <f t="shared" si="75"/>
        <v>0</v>
      </c>
      <c r="V77" s="560">
        <f t="shared" si="75"/>
        <v>0</v>
      </c>
      <c r="W77" s="560">
        <f t="shared" si="75"/>
        <v>0</v>
      </c>
      <c r="X77" s="560">
        <f t="shared" si="75"/>
        <v>0</v>
      </c>
      <c r="Y77" s="560">
        <f t="shared" si="75"/>
        <v>0</v>
      </c>
      <c r="Z77" s="601">
        <f t="shared" si="73"/>
        <v>0</v>
      </c>
      <c r="AI77" s="883">
        <f t="shared" si="9"/>
        <v>0</v>
      </c>
    </row>
    <row r="78" spans="1:35" ht="20.100000000000001" customHeight="1">
      <c r="A78" s="1478" t="s">
        <v>147</v>
      </c>
      <c r="B78" s="1480"/>
      <c r="C78" s="24"/>
      <c r="D78" s="24"/>
      <c r="E78" s="24"/>
      <c r="F78" s="24"/>
      <c r="G78" s="24"/>
      <c r="H78" s="24"/>
      <c r="I78" s="25"/>
      <c r="J78" s="24"/>
      <c r="K78" s="24"/>
      <c r="L78" s="25"/>
      <c r="M78" s="24"/>
      <c r="N78" s="604"/>
      <c r="O78" s="24"/>
      <c r="P78" s="24"/>
      <c r="Q78" s="24"/>
      <c r="R78" s="24"/>
      <c r="S78" s="24"/>
      <c r="T78" s="24"/>
      <c r="U78" s="25"/>
      <c r="V78" s="24"/>
      <c r="W78" s="24"/>
      <c r="X78" s="25"/>
      <c r="Y78" s="24"/>
      <c r="Z78" s="600"/>
      <c r="AI78" s="883">
        <f t="shared" si="9"/>
        <v>0</v>
      </c>
    </row>
    <row r="79" spans="1:35" s="7" customFormat="1" ht="18.95" customHeight="1">
      <c r="A79" s="905">
        <v>1</v>
      </c>
      <c r="B79" s="904" t="s">
        <v>434</v>
      </c>
      <c r="C79" s="271">
        <f>25+29</f>
        <v>54</v>
      </c>
      <c r="D79" s="271">
        <f>44+15</f>
        <v>59</v>
      </c>
      <c r="E79" s="271">
        <f>32+18</f>
        <v>50</v>
      </c>
      <c r="F79" s="738">
        <f>27+24+24+22</f>
        <v>97</v>
      </c>
      <c r="G79" s="738">
        <f>SUM(C79:F79)</f>
        <v>260</v>
      </c>
      <c r="H79" s="738"/>
      <c r="I79" s="565">
        <f>C79+E79+H79+D79+F79</f>
        <v>260</v>
      </c>
      <c r="J79" s="569">
        <f>17+18+17+13</f>
        <v>65</v>
      </c>
      <c r="K79" s="566">
        <f>8+8+37+19</f>
        <v>72</v>
      </c>
      <c r="L79" s="565">
        <f>J79+K79</f>
        <v>137</v>
      </c>
      <c r="M79" s="565">
        <f>I79+L79</f>
        <v>397</v>
      </c>
      <c r="N79" s="604"/>
      <c r="O79" s="253">
        <f>37+25</f>
        <v>62</v>
      </c>
      <c r="P79" s="23">
        <f>41+19</f>
        <v>60</v>
      </c>
      <c r="Q79" s="23">
        <f>33+24</f>
        <v>57</v>
      </c>
      <c r="R79" s="566">
        <f>24+24</f>
        <v>48</v>
      </c>
      <c r="S79" s="933">
        <f t="shared" ref="S79:S86" si="76">SUM(O79:R79)</f>
        <v>227</v>
      </c>
      <c r="T79" s="933"/>
      <c r="U79" s="565">
        <f t="shared" ref="U79:U86" si="77">+O79+P79+Q79+R79+T79</f>
        <v>227</v>
      </c>
      <c r="V79" s="569"/>
      <c r="W79" s="566"/>
      <c r="X79" s="565">
        <f>V79+W79</f>
        <v>0</v>
      </c>
      <c r="Y79" s="565">
        <f>U79+X79</f>
        <v>227</v>
      </c>
      <c r="Z79" s="601">
        <f t="shared" ref="Z79:Z86" si="78">Y79+M79</f>
        <v>624</v>
      </c>
      <c r="AB79" s="886">
        <f>136800-500</f>
        <v>136300</v>
      </c>
      <c r="AC79" s="886"/>
      <c r="AI79" s="883">
        <f t="shared" si="9"/>
        <v>0</v>
      </c>
    </row>
    <row r="80" spans="1:35" s="7" customFormat="1" ht="18.95" customHeight="1">
      <c r="A80" s="907">
        <v>2</v>
      </c>
      <c r="B80" s="902" t="s">
        <v>388</v>
      </c>
      <c r="C80" s="570"/>
      <c r="D80" s="238"/>
      <c r="E80" s="238"/>
      <c r="F80" s="567"/>
      <c r="G80" s="738">
        <f t="shared" ref="G80:G86" si="79">SUM(C80:F80)</f>
        <v>0</v>
      </c>
      <c r="H80" s="567">
        <v>8</v>
      </c>
      <c r="I80" s="565">
        <f>C80+E80+H80+D80+F80</f>
        <v>8</v>
      </c>
      <c r="J80" s="570">
        <v>17</v>
      </c>
      <c r="K80" s="567"/>
      <c r="L80" s="565">
        <f>J80+K80</f>
        <v>17</v>
      </c>
      <c r="M80" s="565">
        <f>I80+L80</f>
        <v>25</v>
      </c>
      <c r="N80" s="604"/>
      <c r="O80" s="256"/>
      <c r="P80" s="238"/>
      <c r="Q80" s="238"/>
      <c r="R80" s="567"/>
      <c r="S80" s="933">
        <f t="shared" si="76"/>
        <v>0</v>
      </c>
      <c r="T80" s="933"/>
      <c r="U80" s="565">
        <f t="shared" si="77"/>
        <v>0</v>
      </c>
      <c r="V80" s="570"/>
      <c r="W80" s="567"/>
      <c r="X80" s="565">
        <f>V80+W80</f>
        <v>0</v>
      </c>
      <c r="Y80" s="565">
        <f>U80+X80</f>
        <v>0</v>
      </c>
      <c r="Z80" s="601">
        <f t="shared" si="78"/>
        <v>25</v>
      </c>
      <c r="AB80" s="886"/>
      <c r="AC80" s="886"/>
      <c r="AI80" s="883">
        <f t="shared" si="9"/>
        <v>0</v>
      </c>
    </row>
    <row r="81" spans="1:35" s="7" customFormat="1" ht="18.95" customHeight="1">
      <c r="A81" s="905">
        <v>3</v>
      </c>
      <c r="B81" s="904" t="s">
        <v>1318</v>
      </c>
      <c r="C81" s="238">
        <f>26+11</f>
        <v>37</v>
      </c>
      <c r="D81" s="238">
        <f>27+3</f>
        <v>30</v>
      </c>
      <c r="E81" s="238"/>
      <c r="F81" s="567"/>
      <c r="G81" s="738">
        <f t="shared" si="79"/>
        <v>67</v>
      </c>
      <c r="H81" s="567">
        <v>21</v>
      </c>
      <c r="I81" s="565">
        <f>C81+E81+H81+D81+F81</f>
        <v>88</v>
      </c>
      <c r="J81" s="570">
        <f>2+2</f>
        <v>4</v>
      </c>
      <c r="K81" s="567">
        <f>3+1</f>
        <v>4</v>
      </c>
      <c r="L81" s="565">
        <f>J81+K81</f>
        <v>8</v>
      </c>
      <c r="M81" s="565">
        <f>I81+L81</f>
        <v>96</v>
      </c>
      <c r="N81" s="604"/>
      <c r="O81" s="256"/>
      <c r="P81" s="238"/>
      <c r="Q81" s="238"/>
      <c r="R81" s="567"/>
      <c r="S81" s="933">
        <f t="shared" si="76"/>
        <v>0</v>
      </c>
      <c r="T81" s="933"/>
      <c r="U81" s="565">
        <f t="shared" si="77"/>
        <v>0</v>
      </c>
      <c r="V81" s="570"/>
      <c r="W81" s="567"/>
      <c r="X81" s="565">
        <f>V81+W81</f>
        <v>0</v>
      </c>
      <c r="Y81" s="565">
        <f>U81+X81</f>
        <v>0</v>
      </c>
      <c r="Z81" s="601">
        <f t="shared" si="78"/>
        <v>96</v>
      </c>
      <c r="AB81" s="886"/>
      <c r="AC81" s="886"/>
      <c r="AE81" s="7">
        <f>14+7</f>
        <v>21</v>
      </c>
      <c r="AF81" s="7" t="s">
        <v>1347</v>
      </c>
      <c r="AI81" s="883">
        <f t="shared" si="9"/>
        <v>0</v>
      </c>
    </row>
    <row r="82" spans="1:35" s="7" customFormat="1" ht="28.5">
      <c r="A82" s="907">
        <v>4</v>
      </c>
      <c r="B82" s="904" t="s">
        <v>1331</v>
      </c>
      <c r="C82" s="271">
        <v>9</v>
      </c>
      <c r="D82" s="271">
        <v>19</v>
      </c>
      <c r="E82" s="271">
        <v>12</v>
      </c>
      <c r="F82" s="738">
        <v>16</v>
      </c>
      <c r="G82" s="738">
        <f t="shared" si="79"/>
        <v>56</v>
      </c>
      <c r="H82" s="738"/>
      <c r="I82" s="565">
        <f>C82+E82+H82+D82+F82</f>
        <v>56</v>
      </c>
      <c r="J82" s="569">
        <f>14+1+2</f>
        <v>17</v>
      </c>
      <c r="K82" s="566">
        <f>8+1</f>
        <v>9</v>
      </c>
      <c r="L82" s="565">
        <f>J82+K82</f>
        <v>26</v>
      </c>
      <c r="M82" s="565">
        <f>I82+L82</f>
        <v>82</v>
      </c>
      <c r="N82" s="604"/>
      <c r="O82" s="253"/>
      <c r="P82" s="23"/>
      <c r="Q82" s="23"/>
      <c r="R82" s="566"/>
      <c r="S82" s="933">
        <f t="shared" si="76"/>
        <v>0</v>
      </c>
      <c r="T82" s="933"/>
      <c r="U82" s="565">
        <f t="shared" si="77"/>
        <v>0</v>
      </c>
      <c r="V82" s="569"/>
      <c r="W82" s="566"/>
      <c r="X82" s="565">
        <f>V82+W82</f>
        <v>0</v>
      </c>
      <c r="Y82" s="565">
        <f>U82+X82</f>
        <v>0</v>
      </c>
      <c r="Z82" s="601">
        <f t="shared" si="78"/>
        <v>82</v>
      </c>
      <c r="AB82" s="886"/>
      <c r="AC82" s="886"/>
      <c r="AI82" s="883">
        <f t="shared" si="9"/>
        <v>0</v>
      </c>
    </row>
    <row r="83" spans="1:35" s="7" customFormat="1" ht="18.95" customHeight="1">
      <c r="A83" s="905">
        <v>5</v>
      </c>
      <c r="B83" s="904" t="s">
        <v>1320</v>
      </c>
      <c r="C83" s="238">
        <f>60+2</f>
        <v>62</v>
      </c>
      <c r="D83" s="238">
        <v>35</v>
      </c>
      <c r="E83" s="238">
        <f>27+4</f>
        <v>31</v>
      </c>
      <c r="F83" s="567">
        <v>35</v>
      </c>
      <c r="G83" s="738">
        <f t="shared" si="79"/>
        <v>163</v>
      </c>
      <c r="H83" s="567">
        <v>23</v>
      </c>
      <c r="I83" s="565">
        <f>C83+E83+H83+D83+F83</f>
        <v>186</v>
      </c>
      <c r="J83" s="570">
        <f>8+2+28+1</f>
        <v>39</v>
      </c>
      <c r="K83" s="567">
        <v>10</v>
      </c>
      <c r="L83" s="565">
        <f>J83+K83</f>
        <v>49</v>
      </c>
      <c r="M83" s="565">
        <f>I83+L83</f>
        <v>235</v>
      </c>
      <c r="N83" s="604"/>
      <c r="O83" s="256"/>
      <c r="P83" s="238"/>
      <c r="Q83" s="238"/>
      <c r="R83" s="567"/>
      <c r="S83" s="933">
        <f t="shared" si="76"/>
        <v>0</v>
      </c>
      <c r="T83" s="933"/>
      <c r="U83" s="565">
        <f t="shared" si="77"/>
        <v>0</v>
      </c>
      <c r="V83" s="570"/>
      <c r="W83" s="567"/>
      <c r="X83" s="565">
        <f>V83+W83</f>
        <v>0</v>
      </c>
      <c r="Y83" s="565">
        <f>U83+X83</f>
        <v>0</v>
      </c>
      <c r="Z83" s="601">
        <f t="shared" si="78"/>
        <v>235</v>
      </c>
      <c r="AB83" s="886"/>
      <c r="AC83" s="886"/>
      <c r="AE83" s="7">
        <v>23</v>
      </c>
      <c r="AF83" s="7" t="s">
        <v>1350</v>
      </c>
      <c r="AI83" s="883">
        <f t="shared" si="9"/>
        <v>0</v>
      </c>
    </row>
    <row r="84" spans="1:35" s="7" customFormat="1" ht="20.100000000000001" customHeight="1">
      <c r="A84" s="736">
        <v>6</v>
      </c>
      <c r="B84" s="243"/>
      <c r="C84" s="238"/>
      <c r="D84" s="238"/>
      <c r="E84" s="238"/>
      <c r="F84" s="567"/>
      <c r="G84" s="738">
        <f t="shared" si="79"/>
        <v>0</v>
      </c>
      <c r="H84" s="567"/>
      <c r="I84" s="565">
        <f t="shared" ref="I84:I86" si="80">C84+E84+H84+D84</f>
        <v>0</v>
      </c>
      <c r="J84" s="570"/>
      <c r="K84" s="567"/>
      <c r="L84" s="565">
        <f t="shared" ref="L84:L86" si="81">J84+K84</f>
        <v>0</v>
      </c>
      <c r="M84" s="565">
        <f t="shared" ref="M84:M86" si="82">I84+L84</f>
        <v>0</v>
      </c>
      <c r="N84" s="604"/>
      <c r="O84" s="256"/>
      <c r="P84" s="238"/>
      <c r="Q84" s="238"/>
      <c r="R84" s="567"/>
      <c r="S84" s="933">
        <f t="shared" si="76"/>
        <v>0</v>
      </c>
      <c r="T84" s="933"/>
      <c r="U84" s="565">
        <f t="shared" si="77"/>
        <v>0</v>
      </c>
      <c r="V84" s="570"/>
      <c r="W84" s="567"/>
      <c r="X84" s="565">
        <f t="shared" ref="X84:X86" si="83">V84+W84</f>
        <v>0</v>
      </c>
      <c r="Y84" s="565">
        <f t="shared" ref="Y84:Y86" si="84">U84+X84</f>
        <v>0</v>
      </c>
      <c r="Z84" s="601">
        <f t="shared" si="78"/>
        <v>0</v>
      </c>
      <c r="AB84" s="886"/>
      <c r="AC84" s="886"/>
      <c r="AI84" s="883">
        <f t="shared" si="9"/>
        <v>0</v>
      </c>
    </row>
    <row r="85" spans="1:35" s="7" customFormat="1" ht="20.100000000000001" customHeight="1">
      <c r="A85" s="241">
        <v>7</v>
      </c>
      <c r="B85" s="243"/>
      <c r="C85" s="238"/>
      <c r="D85" s="238"/>
      <c r="E85" s="238"/>
      <c r="F85" s="567"/>
      <c r="G85" s="738">
        <f t="shared" si="79"/>
        <v>0</v>
      </c>
      <c r="H85" s="567"/>
      <c r="I85" s="565">
        <f t="shared" si="80"/>
        <v>0</v>
      </c>
      <c r="J85" s="570"/>
      <c r="K85" s="567"/>
      <c r="L85" s="565">
        <f t="shared" si="81"/>
        <v>0</v>
      </c>
      <c r="M85" s="565">
        <f t="shared" si="82"/>
        <v>0</v>
      </c>
      <c r="N85" s="604"/>
      <c r="O85" s="256"/>
      <c r="P85" s="238"/>
      <c r="Q85" s="238"/>
      <c r="R85" s="567"/>
      <c r="S85" s="933">
        <f t="shared" si="76"/>
        <v>0</v>
      </c>
      <c r="T85" s="933"/>
      <c r="U85" s="565">
        <f t="shared" si="77"/>
        <v>0</v>
      </c>
      <c r="V85" s="570"/>
      <c r="W85" s="567"/>
      <c r="X85" s="565">
        <f t="shared" si="83"/>
        <v>0</v>
      </c>
      <c r="Y85" s="565">
        <f t="shared" si="84"/>
        <v>0</v>
      </c>
      <c r="Z85" s="601">
        <f t="shared" si="78"/>
        <v>0</v>
      </c>
      <c r="AB85" s="886"/>
      <c r="AC85" s="886"/>
      <c r="AI85" s="883">
        <f t="shared" ref="AI85:AI121" si="85">+Y85+M85-Z85</f>
        <v>0</v>
      </c>
    </row>
    <row r="86" spans="1:35" s="7" customFormat="1" ht="20.100000000000001" customHeight="1">
      <c r="A86" s="736">
        <v>8</v>
      </c>
      <c r="B86" s="562"/>
      <c r="C86" s="359"/>
      <c r="D86" s="359"/>
      <c r="E86" s="359"/>
      <c r="F86" s="568"/>
      <c r="G86" s="738">
        <f t="shared" si="79"/>
        <v>0</v>
      </c>
      <c r="H86" s="568"/>
      <c r="I86" s="565">
        <f t="shared" si="80"/>
        <v>0</v>
      </c>
      <c r="J86" s="571"/>
      <c r="K86" s="568"/>
      <c r="L86" s="565">
        <f t="shared" si="81"/>
        <v>0</v>
      </c>
      <c r="M86" s="565">
        <f t="shared" si="82"/>
        <v>0</v>
      </c>
      <c r="N86" s="604"/>
      <c r="O86" s="358"/>
      <c r="P86" s="359"/>
      <c r="Q86" s="359"/>
      <c r="R86" s="568"/>
      <c r="S86" s="933">
        <f t="shared" si="76"/>
        <v>0</v>
      </c>
      <c r="T86" s="933"/>
      <c r="U86" s="565">
        <f t="shared" si="77"/>
        <v>0</v>
      </c>
      <c r="V86" s="571"/>
      <c r="W86" s="568"/>
      <c r="X86" s="565">
        <f t="shared" si="83"/>
        <v>0</v>
      </c>
      <c r="Y86" s="565">
        <f t="shared" si="84"/>
        <v>0</v>
      </c>
      <c r="Z86" s="601">
        <f t="shared" si="78"/>
        <v>0</v>
      </c>
      <c r="AB86" s="886"/>
      <c r="AC86" s="886"/>
      <c r="AI86" s="883">
        <f t="shared" si="85"/>
        <v>0</v>
      </c>
    </row>
    <row r="87" spans="1:35" ht="20.100000000000001" customHeight="1">
      <c r="A87" s="1521" t="s">
        <v>752</v>
      </c>
      <c r="B87" s="1522"/>
      <c r="C87" s="856">
        <f>SUM(C79:C86)</f>
        <v>162</v>
      </c>
      <c r="D87" s="856">
        <f t="shared" ref="D87:Z87" si="86">SUM(D79:D86)</f>
        <v>143</v>
      </c>
      <c r="E87" s="856">
        <f t="shared" si="86"/>
        <v>93</v>
      </c>
      <c r="F87" s="856">
        <f t="shared" si="86"/>
        <v>148</v>
      </c>
      <c r="G87" s="856">
        <f t="shared" si="86"/>
        <v>546</v>
      </c>
      <c r="H87" s="856">
        <f t="shared" si="86"/>
        <v>52</v>
      </c>
      <c r="I87" s="856">
        <f t="shared" si="86"/>
        <v>598</v>
      </c>
      <c r="J87" s="856">
        <f t="shared" si="86"/>
        <v>142</v>
      </c>
      <c r="K87" s="856">
        <f t="shared" si="86"/>
        <v>95</v>
      </c>
      <c r="L87" s="856">
        <f t="shared" si="86"/>
        <v>237</v>
      </c>
      <c r="M87" s="856">
        <f t="shared" si="86"/>
        <v>835</v>
      </c>
      <c r="N87" s="856">
        <f t="shared" si="86"/>
        <v>0</v>
      </c>
      <c r="O87" s="856">
        <f t="shared" si="86"/>
        <v>62</v>
      </c>
      <c r="P87" s="856">
        <f t="shared" si="86"/>
        <v>60</v>
      </c>
      <c r="Q87" s="856">
        <f t="shared" si="86"/>
        <v>57</v>
      </c>
      <c r="R87" s="856">
        <f t="shared" si="86"/>
        <v>48</v>
      </c>
      <c r="S87" s="856"/>
      <c r="T87" s="856">
        <f t="shared" si="86"/>
        <v>0</v>
      </c>
      <c r="U87" s="856">
        <f t="shared" si="86"/>
        <v>227</v>
      </c>
      <c r="V87" s="856">
        <f t="shared" si="86"/>
        <v>0</v>
      </c>
      <c r="W87" s="856">
        <f t="shared" si="86"/>
        <v>0</v>
      </c>
      <c r="X87" s="856">
        <f t="shared" si="86"/>
        <v>0</v>
      </c>
      <c r="Y87" s="856">
        <f t="shared" si="86"/>
        <v>227</v>
      </c>
      <c r="Z87" s="856">
        <f t="shared" si="86"/>
        <v>1062</v>
      </c>
      <c r="AI87" s="883">
        <f t="shared" si="85"/>
        <v>0</v>
      </c>
    </row>
    <row r="88" spans="1:35" ht="20.100000000000001" customHeight="1">
      <c r="A88" s="1478" t="s">
        <v>148</v>
      </c>
      <c r="B88" s="1480"/>
      <c r="C88" s="24"/>
      <c r="D88" s="24"/>
      <c r="E88" s="24"/>
      <c r="F88" s="24"/>
      <c r="G88" s="24"/>
      <c r="H88" s="24"/>
      <c r="I88" s="25"/>
      <c r="J88" s="24"/>
      <c r="K88" s="24"/>
      <c r="L88" s="25"/>
      <c r="M88" s="24"/>
      <c r="N88" s="604"/>
      <c r="O88" s="24"/>
      <c r="P88" s="24"/>
      <c r="Q88" s="24"/>
      <c r="R88" s="24"/>
      <c r="S88" s="24"/>
      <c r="T88" s="24"/>
      <c r="U88" s="25"/>
      <c r="V88" s="24"/>
      <c r="W88" s="24"/>
      <c r="X88" s="25"/>
      <c r="Y88" s="24"/>
      <c r="Z88" s="600"/>
      <c r="AI88" s="883">
        <f t="shared" si="85"/>
        <v>0</v>
      </c>
    </row>
    <row r="89" spans="1:35" s="7" customFormat="1" ht="20.100000000000001" customHeight="1">
      <c r="A89" s="240">
        <v>1</v>
      </c>
      <c r="B89" s="242"/>
      <c r="C89" s="23"/>
      <c r="D89" s="23"/>
      <c r="E89" s="23"/>
      <c r="F89" s="566"/>
      <c r="G89" s="566"/>
      <c r="H89" s="566"/>
      <c r="I89" s="565">
        <f t="shared" ref="I89:I94" si="87">C89+E89+H89+D89</f>
        <v>0</v>
      </c>
      <c r="J89" s="569"/>
      <c r="K89" s="566"/>
      <c r="L89" s="565">
        <f t="shared" ref="L89:L94" si="88">J89+K89</f>
        <v>0</v>
      </c>
      <c r="M89" s="565">
        <f t="shared" ref="M89:M94" si="89">I89+L89</f>
        <v>0</v>
      </c>
      <c r="N89" s="604"/>
      <c r="O89" s="253"/>
      <c r="P89" s="23"/>
      <c r="Q89" s="23"/>
      <c r="R89" s="566"/>
      <c r="S89" s="933">
        <f t="shared" ref="S89:S94" si="90">SUM(O89:R89)</f>
        <v>0</v>
      </c>
      <c r="T89" s="933"/>
      <c r="U89" s="565">
        <f t="shared" ref="U89:U94" si="91">SUM(S89:T89)</f>
        <v>0</v>
      </c>
      <c r="V89" s="569"/>
      <c r="W89" s="566"/>
      <c r="X89" s="565">
        <f t="shared" ref="X89:X94" si="92">V89+W89</f>
        <v>0</v>
      </c>
      <c r="Y89" s="565">
        <f t="shared" ref="Y89:Y94" si="93">U89+X89</f>
        <v>0</v>
      </c>
      <c r="Z89" s="601">
        <f t="shared" ref="Z89:Z94" si="94">Y89+M89</f>
        <v>0</v>
      </c>
      <c r="AB89" s="886"/>
      <c r="AC89" s="886"/>
      <c r="AI89" s="883">
        <f t="shared" si="85"/>
        <v>0</v>
      </c>
    </row>
    <row r="90" spans="1:35" s="7" customFormat="1" ht="20.100000000000001" customHeight="1">
      <c r="A90" s="241">
        <v>2</v>
      </c>
      <c r="B90" s="243"/>
      <c r="C90" s="238"/>
      <c r="D90" s="238"/>
      <c r="E90" s="238"/>
      <c r="F90" s="567"/>
      <c r="G90" s="567"/>
      <c r="H90" s="567"/>
      <c r="I90" s="565">
        <f t="shared" si="87"/>
        <v>0</v>
      </c>
      <c r="J90" s="570"/>
      <c r="K90" s="567"/>
      <c r="L90" s="565">
        <f t="shared" si="88"/>
        <v>0</v>
      </c>
      <c r="M90" s="565">
        <f t="shared" si="89"/>
        <v>0</v>
      </c>
      <c r="N90" s="604"/>
      <c r="O90" s="256"/>
      <c r="P90" s="238"/>
      <c r="Q90" s="238"/>
      <c r="R90" s="567"/>
      <c r="S90" s="933">
        <f t="shared" si="90"/>
        <v>0</v>
      </c>
      <c r="T90" s="933"/>
      <c r="U90" s="565">
        <f t="shared" si="91"/>
        <v>0</v>
      </c>
      <c r="V90" s="570"/>
      <c r="W90" s="567"/>
      <c r="X90" s="565">
        <f t="shared" si="92"/>
        <v>0</v>
      </c>
      <c r="Y90" s="565">
        <f t="shared" si="93"/>
        <v>0</v>
      </c>
      <c r="Z90" s="601">
        <f t="shared" si="94"/>
        <v>0</v>
      </c>
      <c r="AB90" s="886"/>
      <c r="AC90" s="886"/>
      <c r="AI90" s="883">
        <f t="shared" si="85"/>
        <v>0</v>
      </c>
    </row>
    <row r="91" spans="1:35" s="7" customFormat="1" ht="20.100000000000001" customHeight="1">
      <c r="A91" s="241">
        <v>3</v>
      </c>
      <c r="B91" s="243"/>
      <c r="C91" s="238"/>
      <c r="D91" s="238"/>
      <c r="E91" s="238"/>
      <c r="F91" s="567"/>
      <c r="G91" s="567"/>
      <c r="H91" s="567"/>
      <c r="I91" s="565">
        <f t="shared" si="87"/>
        <v>0</v>
      </c>
      <c r="J91" s="570"/>
      <c r="K91" s="567"/>
      <c r="L91" s="565">
        <f t="shared" si="88"/>
        <v>0</v>
      </c>
      <c r="M91" s="565">
        <f t="shared" si="89"/>
        <v>0</v>
      </c>
      <c r="N91" s="604"/>
      <c r="O91" s="256"/>
      <c r="P91" s="238"/>
      <c r="Q91" s="238"/>
      <c r="R91" s="567"/>
      <c r="S91" s="933">
        <f t="shared" si="90"/>
        <v>0</v>
      </c>
      <c r="T91" s="933"/>
      <c r="U91" s="565">
        <f t="shared" si="91"/>
        <v>0</v>
      </c>
      <c r="V91" s="570"/>
      <c r="W91" s="567"/>
      <c r="X91" s="565">
        <f t="shared" si="92"/>
        <v>0</v>
      </c>
      <c r="Y91" s="565">
        <f t="shared" si="93"/>
        <v>0</v>
      </c>
      <c r="Z91" s="601">
        <f t="shared" si="94"/>
        <v>0</v>
      </c>
      <c r="AB91" s="886"/>
      <c r="AC91" s="886"/>
      <c r="AI91" s="883">
        <f t="shared" si="85"/>
        <v>0</v>
      </c>
    </row>
    <row r="92" spans="1:35" s="7" customFormat="1" ht="20.100000000000001" customHeight="1">
      <c r="A92" s="241">
        <v>4</v>
      </c>
      <c r="B92" s="243"/>
      <c r="C92" s="238"/>
      <c r="D92" s="238"/>
      <c r="E92" s="238"/>
      <c r="F92" s="567"/>
      <c r="G92" s="567"/>
      <c r="H92" s="567"/>
      <c r="I92" s="565">
        <f t="shared" si="87"/>
        <v>0</v>
      </c>
      <c r="J92" s="570"/>
      <c r="K92" s="567"/>
      <c r="L92" s="565">
        <f t="shared" si="88"/>
        <v>0</v>
      </c>
      <c r="M92" s="565">
        <f t="shared" si="89"/>
        <v>0</v>
      </c>
      <c r="N92" s="604"/>
      <c r="O92" s="256"/>
      <c r="P92" s="238"/>
      <c r="Q92" s="238"/>
      <c r="R92" s="567"/>
      <c r="S92" s="933">
        <f t="shared" si="90"/>
        <v>0</v>
      </c>
      <c r="T92" s="933"/>
      <c r="U92" s="565">
        <f t="shared" si="91"/>
        <v>0</v>
      </c>
      <c r="V92" s="570"/>
      <c r="W92" s="567"/>
      <c r="X92" s="565">
        <f t="shared" si="92"/>
        <v>0</v>
      </c>
      <c r="Y92" s="565">
        <f t="shared" si="93"/>
        <v>0</v>
      </c>
      <c r="Z92" s="601">
        <f t="shared" si="94"/>
        <v>0</v>
      </c>
      <c r="AB92" s="886"/>
      <c r="AC92" s="886"/>
      <c r="AI92" s="883">
        <f t="shared" si="85"/>
        <v>0</v>
      </c>
    </row>
    <row r="93" spans="1:35" s="7" customFormat="1" ht="20.100000000000001" customHeight="1">
      <c r="A93" s="241">
        <v>5</v>
      </c>
      <c r="B93" s="243"/>
      <c r="C93" s="238"/>
      <c r="D93" s="238"/>
      <c r="E93" s="238"/>
      <c r="F93" s="567"/>
      <c r="G93" s="567"/>
      <c r="H93" s="567"/>
      <c r="I93" s="565">
        <f t="shared" si="87"/>
        <v>0</v>
      </c>
      <c r="J93" s="570"/>
      <c r="K93" s="567"/>
      <c r="L93" s="565">
        <f t="shared" si="88"/>
        <v>0</v>
      </c>
      <c r="M93" s="565">
        <f t="shared" si="89"/>
        <v>0</v>
      </c>
      <c r="N93" s="604"/>
      <c r="O93" s="256"/>
      <c r="P93" s="238"/>
      <c r="Q93" s="238"/>
      <c r="R93" s="567"/>
      <c r="S93" s="933">
        <f t="shared" si="90"/>
        <v>0</v>
      </c>
      <c r="T93" s="933"/>
      <c r="U93" s="565">
        <f t="shared" si="91"/>
        <v>0</v>
      </c>
      <c r="V93" s="570"/>
      <c r="W93" s="567"/>
      <c r="X93" s="565">
        <f t="shared" si="92"/>
        <v>0</v>
      </c>
      <c r="Y93" s="565">
        <f t="shared" si="93"/>
        <v>0</v>
      </c>
      <c r="Z93" s="601">
        <f t="shared" si="94"/>
        <v>0</v>
      </c>
      <c r="AB93" s="886"/>
      <c r="AC93" s="886"/>
      <c r="AI93" s="883">
        <f t="shared" si="85"/>
        <v>0</v>
      </c>
    </row>
    <row r="94" spans="1:35" s="7" customFormat="1" ht="20.100000000000001" customHeight="1">
      <c r="A94" s="561">
        <v>6</v>
      </c>
      <c r="B94" s="562"/>
      <c r="C94" s="359"/>
      <c r="D94" s="359"/>
      <c r="E94" s="359"/>
      <c r="F94" s="568"/>
      <c r="G94" s="568"/>
      <c r="H94" s="568"/>
      <c r="I94" s="565">
        <f t="shared" si="87"/>
        <v>0</v>
      </c>
      <c r="J94" s="571"/>
      <c r="K94" s="568"/>
      <c r="L94" s="565">
        <f t="shared" si="88"/>
        <v>0</v>
      </c>
      <c r="M94" s="565">
        <f t="shared" si="89"/>
        <v>0</v>
      </c>
      <c r="N94" s="604"/>
      <c r="O94" s="358"/>
      <c r="P94" s="359"/>
      <c r="Q94" s="359"/>
      <c r="R94" s="568"/>
      <c r="S94" s="933">
        <f t="shared" si="90"/>
        <v>0</v>
      </c>
      <c r="T94" s="933"/>
      <c r="U94" s="565">
        <f t="shared" si="91"/>
        <v>0</v>
      </c>
      <c r="V94" s="571"/>
      <c r="W94" s="568"/>
      <c r="X94" s="565">
        <f t="shared" si="92"/>
        <v>0</v>
      </c>
      <c r="Y94" s="565">
        <f t="shared" si="93"/>
        <v>0</v>
      </c>
      <c r="Z94" s="601">
        <f t="shared" si="94"/>
        <v>0</v>
      </c>
      <c r="AB94" s="886"/>
      <c r="AC94" s="886"/>
      <c r="AI94" s="883">
        <f t="shared" si="85"/>
        <v>0</v>
      </c>
    </row>
    <row r="95" spans="1:35" ht="20.100000000000001" customHeight="1">
      <c r="A95" s="1521" t="s">
        <v>752</v>
      </c>
      <c r="B95" s="1522"/>
      <c r="C95" s="560">
        <f>SUM(C89:C93)</f>
        <v>0</v>
      </c>
      <c r="D95" s="560">
        <f t="shared" ref="D95:M95" si="95">SUM(D89:D93)</f>
        <v>0</v>
      </c>
      <c r="E95" s="560">
        <f t="shared" si="95"/>
        <v>0</v>
      </c>
      <c r="F95" s="560">
        <f>SUM(F89:F93)</f>
        <v>0</v>
      </c>
      <c r="G95" s="560"/>
      <c r="H95" s="560">
        <f t="shared" si="95"/>
        <v>0</v>
      </c>
      <c r="I95" s="560">
        <f t="shared" si="95"/>
        <v>0</v>
      </c>
      <c r="J95" s="560">
        <f t="shared" si="95"/>
        <v>0</v>
      </c>
      <c r="K95" s="560">
        <f t="shared" si="95"/>
        <v>0</v>
      </c>
      <c r="L95" s="560">
        <f t="shared" si="95"/>
        <v>0</v>
      </c>
      <c r="M95" s="560">
        <f t="shared" si="95"/>
        <v>0</v>
      </c>
      <c r="N95" s="604"/>
      <c r="O95" s="560">
        <f>SUM(O89:O93)</f>
        <v>0</v>
      </c>
      <c r="P95" s="560">
        <f t="shared" ref="P95:Y95" si="96">SUM(P89:P93)</f>
        <v>0</v>
      </c>
      <c r="Q95" s="560">
        <f t="shared" si="96"/>
        <v>0</v>
      </c>
      <c r="R95" s="560">
        <f t="shared" si="96"/>
        <v>0</v>
      </c>
      <c r="S95" s="560"/>
      <c r="T95" s="560"/>
      <c r="U95" s="560">
        <f t="shared" si="96"/>
        <v>0</v>
      </c>
      <c r="V95" s="560">
        <f t="shared" si="96"/>
        <v>0</v>
      </c>
      <c r="W95" s="560">
        <f t="shared" si="96"/>
        <v>0</v>
      </c>
      <c r="X95" s="560">
        <f t="shared" si="96"/>
        <v>0</v>
      </c>
      <c r="Y95" s="560">
        <f t="shared" si="96"/>
        <v>0</v>
      </c>
      <c r="Z95" s="601">
        <f t="shared" ref="Z95:Z103" si="97">Y95+M95</f>
        <v>0</v>
      </c>
      <c r="AI95" s="883">
        <f t="shared" si="85"/>
        <v>0</v>
      </c>
    </row>
    <row r="96" spans="1:35" ht="20.100000000000001" customHeight="1">
      <c r="A96" s="1478" t="s">
        <v>149</v>
      </c>
      <c r="B96" s="1480"/>
      <c r="C96" s="24"/>
      <c r="D96" s="24"/>
      <c r="E96" s="24"/>
      <c r="F96" s="24"/>
      <c r="G96" s="24"/>
      <c r="H96" s="24"/>
      <c r="I96" s="25"/>
      <c r="J96" s="24"/>
      <c r="K96" s="24"/>
      <c r="L96" s="25"/>
      <c r="M96" s="24"/>
      <c r="N96" s="604"/>
      <c r="O96" s="24"/>
      <c r="P96" s="24"/>
      <c r="Q96" s="24"/>
      <c r="R96" s="24"/>
      <c r="S96" s="24"/>
      <c r="T96" s="24"/>
      <c r="U96" s="25"/>
      <c r="V96" s="24"/>
      <c r="W96" s="24"/>
      <c r="X96" s="25"/>
      <c r="Y96" s="24"/>
      <c r="Z96" s="600"/>
      <c r="AI96" s="883">
        <f t="shared" si="85"/>
        <v>0</v>
      </c>
    </row>
    <row r="97" spans="1:35" s="7" customFormat="1" ht="20.100000000000001" customHeight="1">
      <c r="A97" s="240">
        <v>1</v>
      </c>
      <c r="B97" s="242"/>
      <c r="C97" s="23"/>
      <c r="D97" s="23"/>
      <c r="E97" s="23"/>
      <c r="F97" s="566"/>
      <c r="G97" s="566"/>
      <c r="H97" s="566"/>
      <c r="I97" s="565">
        <f t="shared" ref="I97:I102" si="98">C97+E97+H97+D97</f>
        <v>0</v>
      </c>
      <c r="J97" s="569"/>
      <c r="K97" s="566"/>
      <c r="L97" s="565">
        <f t="shared" ref="L97:L102" si="99">J97+K97</f>
        <v>0</v>
      </c>
      <c r="M97" s="565">
        <f t="shared" ref="M97:M102" si="100">I97+L97</f>
        <v>0</v>
      </c>
      <c r="N97" s="604"/>
      <c r="O97" s="253"/>
      <c r="P97" s="23"/>
      <c r="Q97" s="23"/>
      <c r="R97" s="566"/>
      <c r="S97" s="933">
        <f t="shared" ref="S97:S103" si="101">SUM(O97:R97)</f>
        <v>0</v>
      </c>
      <c r="T97" s="933"/>
      <c r="U97" s="565">
        <f t="shared" ref="U97:U102" si="102">SUM(S97:T97)</f>
        <v>0</v>
      </c>
      <c r="V97" s="569"/>
      <c r="W97" s="566"/>
      <c r="X97" s="565">
        <f t="shared" ref="X97:X102" si="103">V97+W97</f>
        <v>0</v>
      </c>
      <c r="Y97" s="565">
        <f t="shared" ref="Y97:Y102" si="104">U97+X97</f>
        <v>0</v>
      </c>
      <c r="Z97" s="601">
        <f t="shared" si="97"/>
        <v>0</v>
      </c>
      <c r="AB97" s="886"/>
      <c r="AC97" s="886"/>
      <c r="AI97" s="883">
        <f t="shared" si="85"/>
        <v>0</v>
      </c>
    </row>
    <row r="98" spans="1:35" s="7" customFormat="1" ht="20.100000000000001" customHeight="1">
      <c r="A98" s="241">
        <v>2</v>
      </c>
      <c r="B98" s="243"/>
      <c r="C98" s="238"/>
      <c r="D98" s="238"/>
      <c r="E98" s="238"/>
      <c r="F98" s="567"/>
      <c r="G98" s="567"/>
      <c r="H98" s="567"/>
      <c r="I98" s="565">
        <f t="shared" si="98"/>
        <v>0</v>
      </c>
      <c r="J98" s="570"/>
      <c r="K98" s="567"/>
      <c r="L98" s="565">
        <f t="shared" si="99"/>
        <v>0</v>
      </c>
      <c r="M98" s="565">
        <f t="shared" si="100"/>
        <v>0</v>
      </c>
      <c r="N98" s="604"/>
      <c r="O98" s="256"/>
      <c r="P98" s="238"/>
      <c r="Q98" s="238"/>
      <c r="R98" s="567"/>
      <c r="S98" s="933">
        <f t="shared" si="101"/>
        <v>0</v>
      </c>
      <c r="T98" s="933"/>
      <c r="U98" s="565">
        <f t="shared" si="102"/>
        <v>0</v>
      </c>
      <c r="V98" s="570"/>
      <c r="W98" s="567"/>
      <c r="X98" s="565">
        <f t="shared" si="103"/>
        <v>0</v>
      </c>
      <c r="Y98" s="565">
        <f t="shared" si="104"/>
        <v>0</v>
      </c>
      <c r="Z98" s="601">
        <f t="shared" si="97"/>
        <v>0</v>
      </c>
      <c r="AB98" s="886"/>
      <c r="AC98" s="886"/>
      <c r="AI98" s="883">
        <f t="shared" si="85"/>
        <v>0</v>
      </c>
    </row>
    <row r="99" spans="1:35" s="7" customFormat="1" ht="20.100000000000001" customHeight="1">
      <c r="A99" s="241">
        <v>3</v>
      </c>
      <c r="B99" s="243"/>
      <c r="C99" s="238"/>
      <c r="D99" s="238"/>
      <c r="E99" s="238"/>
      <c r="F99" s="567"/>
      <c r="G99" s="567"/>
      <c r="H99" s="567"/>
      <c r="I99" s="565">
        <f t="shared" si="98"/>
        <v>0</v>
      </c>
      <c r="J99" s="570"/>
      <c r="K99" s="567"/>
      <c r="L99" s="565">
        <f t="shared" si="99"/>
        <v>0</v>
      </c>
      <c r="M99" s="565">
        <f t="shared" si="100"/>
        <v>0</v>
      </c>
      <c r="N99" s="604"/>
      <c r="O99" s="256"/>
      <c r="P99" s="238"/>
      <c r="Q99" s="238"/>
      <c r="R99" s="567"/>
      <c r="S99" s="933">
        <f t="shared" si="101"/>
        <v>0</v>
      </c>
      <c r="T99" s="933"/>
      <c r="U99" s="565">
        <f t="shared" si="102"/>
        <v>0</v>
      </c>
      <c r="V99" s="570"/>
      <c r="W99" s="567"/>
      <c r="X99" s="565">
        <f t="shared" si="103"/>
        <v>0</v>
      </c>
      <c r="Y99" s="565">
        <f t="shared" si="104"/>
        <v>0</v>
      </c>
      <c r="Z99" s="601">
        <f t="shared" si="97"/>
        <v>0</v>
      </c>
      <c r="AB99" s="886"/>
      <c r="AC99" s="886"/>
      <c r="AI99" s="883">
        <f t="shared" si="85"/>
        <v>0</v>
      </c>
    </row>
    <row r="100" spans="1:35" s="7" customFormat="1" ht="20.100000000000001" customHeight="1">
      <c r="A100" s="241">
        <v>4</v>
      </c>
      <c r="B100" s="243"/>
      <c r="C100" s="238"/>
      <c r="D100" s="238"/>
      <c r="E100" s="238"/>
      <c r="F100" s="567"/>
      <c r="G100" s="567"/>
      <c r="H100" s="567"/>
      <c r="I100" s="565">
        <f t="shared" si="98"/>
        <v>0</v>
      </c>
      <c r="J100" s="570"/>
      <c r="K100" s="567"/>
      <c r="L100" s="565">
        <f t="shared" si="99"/>
        <v>0</v>
      </c>
      <c r="M100" s="565">
        <f t="shared" si="100"/>
        <v>0</v>
      </c>
      <c r="N100" s="604"/>
      <c r="O100" s="256"/>
      <c r="P100" s="238"/>
      <c r="Q100" s="238"/>
      <c r="R100" s="567"/>
      <c r="S100" s="933">
        <f t="shared" si="101"/>
        <v>0</v>
      </c>
      <c r="T100" s="933"/>
      <c r="U100" s="565">
        <f t="shared" si="102"/>
        <v>0</v>
      </c>
      <c r="V100" s="570"/>
      <c r="W100" s="567"/>
      <c r="X100" s="565">
        <f t="shared" si="103"/>
        <v>0</v>
      </c>
      <c r="Y100" s="565">
        <f t="shared" si="104"/>
        <v>0</v>
      </c>
      <c r="Z100" s="601">
        <f t="shared" si="97"/>
        <v>0</v>
      </c>
      <c r="AB100" s="886"/>
      <c r="AC100" s="886"/>
      <c r="AI100" s="883">
        <f t="shared" si="85"/>
        <v>0</v>
      </c>
    </row>
    <row r="101" spans="1:35" s="7" customFormat="1" ht="20.100000000000001" customHeight="1">
      <c r="A101" s="241">
        <v>5</v>
      </c>
      <c r="B101" s="243"/>
      <c r="C101" s="238"/>
      <c r="D101" s="238"/>
      <c r="E101" s="238"/>
      <c r="F101" s="567"/>
      <c r="G101" s="567"/>
      <c r="H101" s="567"/>
      <c r="I101" s="565">
        <f t="shared" si="98"/>
        <v>0</v>
      </c>
      <c r="J101" s="570"/>
      <c r="K101" s="567"/>
      <c r="L101" s="565">
        <f t="shared" si="99"/>
        <v>0</v>
      </c>
      <c r="M101" s="565">
        <f t="shared" si="100"/>
        <v>0</v>
      </c>
      <c r="N101" s="604"/>
      <c r="O101" s="256"/>
      <c r="P101" s="238"/>
      <c r="Q101" s="238"/>
      <c r="R101" s="567"/>
      <c r="S101" s="933">
        <f t="shared" si="101"/>
        <v>0</v>
      </c>
      <c r="T101" s="933"/>
      <c r="U101" s="565">
        <f t="shared" si="102"/>
        <v>0</v>
      </c>
      <c r="V101" s="570"/>
      <c r="W101" s="567"/>
      <c r="X101" s="565">
        <f t="shared" si="103"/>
        <v>0</v>
      </c>
      <c r="Y101" s="565">
        <f t="shared" si="104"/>
        <v>0</v>
      </c>
      <c r="Z101" s="601">
        <f t="shared" si="97"/>
        <v>0</v>
      </c>
      <c r="AB101" s="886"/>
      <c r="AC101" s="886"/>
      <c r="AI101" s="883">
        <f t="shared" si="85"/>
        <v>0</v>
      </c>
    </row>
    <row r="102" spans="1:35" s="7" customFormat="1" ht="20.100000000000001" customHeight="1">
      <c r="A102" s="561">
        <v>6</v>
      </c>
      <c r="B102" s="562"/>
      <c r="C102" s="359"/>
      <c r="D102" s="359"/>
      <c r="E102" s="359"/>
      <c r="F102" s="568"/>
      <c r="G102" s="568"/>
      <c r="H102" s="568"/>
      <c r="I102" s="565">
        <f t="shared" si="98"/>
        <v>0</v>
      </c>
      <c r="J102" s="571"/>
      <c r="K102" s="568"/>
      <c r="L102" s="565">
        <f t="shared" si="99"/>
        <v>0</v>
      </c>
      <c r="M102" s="565">
        <f t="shared" si="100"/>
        <v>0</v>
      </c>
      <c r="N102" s="604"/>
      <c r="O102" s="358"/>
      <c r="P102" s="359"/>
      <c r="Q102" s="359"/>
      <c r="R102" s="568"/>
      <c r="S102" s="933">
        <f t="shared" si="101"/>
        <v>0</v>
      </c>
      <c r="T102" s="933"/>
      <c r="U102" s="565">
        <f t="shared" si="102"/>
        <v>0</v>
      </c>
      <c r="V102" s="571"/>
      <c r="W102" s="568"/>
      <c r="X102" s="565">
        <f t="shared" si="103"/>
        <v>0</v>
      </c>
      <c r="Y102" s="565">
        <f t="shared" si="104"/>
        <v>0</v>
      </c>
      <c r="Z102" s="601">
        <f t="shared" si="97"/>
        <v>0</v>
      </c>
      <c r="AB102" s="886"/>
      <c r="AC102" s="886"/>
      <c r="AI102" s="883">
        <f t="shared" si="85"/>
        <v>0</v>
      </c>
    </row>
    <row r="103" spans="1:35" ht="20.100000000000001" customHeight="1">
      <c r="A103" s="1521" t="s">
        <v>752</v>
      </c>
      <c r="B103" s="1522"/>
      <c r="C103" s="560">
        <f>SUM(C97:C101)</f>
        <v>0</v>
      </c>
      <c r="D103" s="560">
        <f t="shared" ref="D103:M103" si="105">SUM(D97:D101)</f>
        <v>0</v>
      </c>
      <c r="E103" s="560">
        <f t="shared" si="105"/>
        <v>0</v>
      </c>
      <c r="F103" s="560">
        <f>SUM(F97:F101)</f>
        <v>0</v>
      </c>
      <c r="G103" s="560"/>
      <c r="H103" s="560">
        <f t="shared" si="105"/>
        <v>0</v>
      </c>
      <c r="I103" s="560">
        <f t="shared" si="105"/>
        <v>0</v>
      </c>
      <c r="J103" s="560">
        <f t="shared" si="105"/>
        <v>0</v>
      </c>
      <c r="K103" s="560">
        <f t="shared" si="105"/>
        <v>0</v>
      </c>
      <c r="L103" s="560">
        <f t="shared" si="105"/>
        <v>0</v>
      </c>
      <c r="M103" s="560">
        <f t="shared" si="105"/>
        <v>0</v>
      </c>
      <c r="N103" s="604"/>
      <c r="O103" s="560">
        <f>SUM(O97:O101)</f>
        <v>0</v>
      </c>
      <c r="P103" s="560">
        <f t="shared" ref="P103:Y103" si="106">SUM(P97:P101)</f>
        <v>0</v>
      </c>
      <c r="Q103" s="560">
        <f t="shared" si="106"/>
        <v>0</v>
      </c>
      <c r="R103" s="575">
        <f t="shared" si="106"/>
        <v>0</v>
      </c>
      <c r="S103" s="933">
        <f t="shared" si="101"/>
        <v>0</v>
      </c>
      <c r="T103" s="560"/>
      <c r="U103" s="560">
        <f t="shared" si="106"/>
        <v>0</v>
      </c>
      <c r="V103" s="560">
        <f t="shared" si="106"/>
        <v>0</v>
      </c>
      <c r="W103" s="560">
        <f t="shared" si="106"/>
        <v>0</v>
      </c>
      <c r="X103" s="560">
        <f t="shared" si="106"/>
        <v>0</v>
      </c>
      <c r="Y103" s="560">
        <f t="shared" si="106"/>
        <v>0</v>
      </c>
      <c r="Z103" s="601">
        <f t="shared" si="97"/>
        <v>0</v>
      </c>
      <c r="AI103" s="883">
        <f t="shared" si="85"/>
        <v>0</v>
      </c>
    </row>
    <row r="104" spans="1:35" ht="20.100000000000001" customHeight="1">
      <c r="A104" s="1478" t="s">
        <v>354</v>
      </c>
      <c r="B104" s="1480"/>
      <c r="C104" s="24"/>
      <c r="D104" s="24"/>
      <c r="E104" s="24"/>
      <c r="F104" s="24"/>
      <c r="G104" s="24"/>
      <c r="H104" s="24"/>
      <c r="I104" s="25"/>
      <c r="J104" s="24"/>
      <c r="K104" s="24"/>
      <c r="L104" s="25"/>
      <c r="M104" s="24"/>
      <c r="N104" s="604"/>
      <c r="O104" s="24"/>
      <c r="P104" s="24"/>
      <c r="Q104" s="24"/>
      <c r="R104" s="923"/>
      <c r="S104" s="24"/>
      <c r="T104" s="24"/>
      <c r="U104" s="25"/>
      <c r="V104" s="24"/>
      <c r="W104" s="24"/>
      <c r="X104" s="25"/>
      <c r="Y104" s="24"/>
      <c r="Z104" s="600"/>
      <c r="AI104" s="883">
        <f t="shared" si="85"/>
        <v>0</v>
      </c>
    </row>
    <row r="105" spans="1:35" s="7" customFormat="1" ht="18.95" customHeight="1">
      <c r="A105" s="240">
        <v>1</v>
      </c>
      <c r="B105" s="904" t="s">
        <v>1314</v>
      </c>
      <c r="C105" s="271">
        <f>64+46</f>
        <v>110</v>
      </c>
      <c r="D105" s="271">
        <f>74+21</f>
        <v>95</v>
      </c>
      <c r="E105" s="271">
        <f>84+16</f>
        <v>100</v>
      </c>
      <c r="F105" s="738">
        <f>37+9+48+14</f>
        <v>108</v>
      </c>
      <c r="G105" s="738">
        <f>SUM(C105:F105)</f>
        <v>413</v>
      </c>
      <c r="H105" s="738">
        <f>35+11+46</f>
        <v>92</v>
      </c>
      <c r="I105" s="565">
        <f>C105+E105+H105+D105+F105</f>
        <v>505</v>
      </c>
      <c r="J105" s="569">
        <f>10+10+17+23</f>
        <v>60</v>
      </c>
      <c r="K105" s="566"/>
      <c r="L105" s="565">
        <f>J105+K105</f>
        <v>60</v>
      </c>
      <c r="M105" s="565">
        <f>I105+L105</f>
        <v>565</v>
      </c>
      <c r="N105" s="604"/>
      <c r="O105" s="253"/>
      <c r="P105" s="23"/>
      <c r="Q105" s="23"/>
      <c r="R105" s="566"/>
      <c r="S105" s="933">
        <f t="shared" ref="S105:S110" si="107">SUM(O105:R105)</f>
        <v>0</v>
      </c>
      <c r="T105" s="933"/>
      <c r="U105" s="565">
        <f t="shared" ref="U105:U110" si="108">SUM(S105:T105)</f>
        <v>0</v>
      </c>
      <c r="V105" s="569"/>
      <c r="W105" s="566"/>
      <c r="X105" s="565">
        <f>V105+W105</f>
        <v>0</v>
      </c>
      <c r="Y105" s="565">
        <f>U105+X105</f>
        <v>0</v>
      </c>
      <c r="Z105" s="601">
        <f t="shared" ref="Z105:Z110" si="109">Y105+M105</f>
        <v>565</v>
      </c>
      <c r="AB105" s="886"/>
      <c r="AC105" s="886"/>
      <c r="AE105" s="7">
        <v>46</v>
      </c>
      <c r="AF105" s="7" t="s">
        <v>1404</v>
      </c>
      <c r="AI105" s="883">
        <f t="shared" si="85"/>
        <v>0</v>
      </c>
    </row>
    <row r="106" spans="1:35" s="7" customFormat="1" ht="20.100000000000001" customHeight="1">
      <c r="A106" s="241">
        <v>2</v>
      </c>
      <c r="B106" s="243"/>
      <c r="C106" s="238"/>
      <c r="D106" s="238"/>
      <c r="E106" s="238"/>
      <c r="F106" s="567"/>
      <c r="G106" s="567"/>
      <c r="H106" s="567"/>
      <c r="I106" s="565">
        <f t="shared" ref="I106:I110" si="110">C106+E106+H106+D106</f>
        <v>0</v>
      </c>
      <c r="J106" s="570"/>
      <c r="K106" s="567"/>
      <c r="L106" s="565">
        <f t="shared" ref="L106:L110" si="111">J106+K106</f>
        <v>0</v>
      </c>
      <c r="M106" s="565">
        <f t="shared" ref="M106:M110" si="112">I106+L106</f>
        <v>0</v>
      </c>
      <c r="N106" s="604"/>
      <c r="O106" s="256"/>
      <c r="P106" s="238"/>
      <c r="Q106" s="238"/>
      <c r="R106" s="567"/>
      <c r="S106" s="933">
        <f t="shared" si="107"/>
        <v>0</v>
      </c>
      <c r="T106" s="933"/>
      <c r="U106" s="565">
        <f t="shared" si="108"/>
        <v>0</v>
      </c>
      <c r="V106" s="570"/>
      <c r="W106" s="567"/>
      <c r="X106" s="565">
        <f t="shared" ref="X106:X110" si="113">V106+W106</f>
        <v>0</v>
      </c>
      <c r="Y106" s="565">
        <f t="shared" ref="Y106:Y110" si="114">U106+X106</f>
        <v>0</v>
      </c>
      <c r="Z106" s="601">
        <f t="shared" si="109"/>
        <v>0</v>
      </c>
      <c r="AB106" s="886"/>
      <c r="AC106" s="886"/>
      <c r="AI106" s="883">
        <f t="shared" si="85"/>
        <v>0</v>
      </c>
    </row>
    <row r="107" spans="1:35" s="7" customFormat="1" ht="20.100000000000001" customHeight="1">
      <c r="A107" s="241">
        <v>3</v>
      </c>
      <c r="B107" s="243"/>
      <c r="C107" s="238"/>
      <c r="D107" s="238"/>
      <c r="E107" s="238"/>
      <c r="F107" s="567"/>
      <c r="G107" s="567"/>
      <c r="H107" s="567"/>
      <c r="I107" s="565">
        <f t="shared" si="110"/>
        <v>0</v>
      </c>
      <c r="J107" s="570"/>
      <c r="K107" s="567"/>
      <c r="L107" s="565">
        <f t="shared" si="111"/>
        <v>0</v>
      </c>
      <c r="M107" s="565">
        <f t="shared" si="112"/>
        <v>0</v>
      </c>
      <c r="N107" s="604"/>
      <c r="O107" s="256"/>
      <c r="P107" s="238"/>
      <c r="Q107" s="238"/>
      <c r="R107" s="567"/>
      <c r="S107" s="933">
        <f t="shared" si="107"/>
        <v>0</v>
      </c>
      <c r="T107" s="933"/>
      <c r="U107" s="565">
        <f t="shared" si="108"/>
        <v>0</v>
      </c>
      <c r="V107" s="570"/>
      <c r="W107" s="567"/>
      <c r="X107" s="565">
        <f t="shared" si="113"/>
        <v>0</v>
      </c>
      <c r="Y107" s="565">
        <f t="shared" si="114"/>
        <v>0</v>
      </c>
      <c r="Z107" s="601">
        <f t="shared" si="109"/>
        <v>0</v>
      </c>
      <c r="AB107" s="886"/>
      <c r="AC107" s="886"/>
      <c r="AI107" s="883">
        <f t="shared" si="85"/>
        <v>0</v>
      </c>
    </row>
    <row r="108" spans="1:35" s="7" customFormat="1" ht="20.100000000000001" hidden="1" customHeight="1">
      <c r="A108" s="241">
        <v>4</v>
      </c>
      <c r="B108" s="243"/>
      <c r="C108" s="238"/>
      <c r="D108" s="238"/>
      <c r="E108" s="238"/>
      <c r="F108" s="567"/>
      <c r="G108" s="567"/>
      <c r="H108" s="567"/>
      <c r="I108" s="565">
        <f t="shared" si="110"/>
        <v>0</v>
      </c>
      <c r="J108" s="570"/>
      <c r="K108" s="567"/>
      <c r="L108" s="565">
        <f t="shared" si="111"/>
        <v>0</v>
      </c>
      <c r="M108" s="565">
        <f t="shared" si="112"/>
        <v>0</v>
      </c>
      <c r="N108" s="604"/>
      <c r="O108" s="256"/>
      <c r="P108" s="238"/>
      <c r="Q108" s="238"/>
      <c r="R108" s="567"/>
      <c r="S108" s="933">
        <f t="shared" si="107"/>
        <v>0</v>
      </c>
      <c r="T108" s="933"/>
      <c r="U108" s="565">
        <f t="shared" si="108"/>
        <v>0</v>
      </c>
      <c r="V108" s="570"/>
      <c r="W108" s="567"/>
      <c r="X108" s="565">
        <f t="shared" si="113"/>
        <v>0</v>
      </c>
      <c r="Y108" s="565">
        <f t="shared" si="114"/>
        <v>0</v>
      </c>
      <c r="Z108" s="601">
        <f t="shared" si="109"/>
        <v>0</v>
      </c>
      <c r="AB108" s="886"/>
      <c r="AC108" s="886"/>
      <c r="AI108" s="883">
        <f t="shared" si="85"/>
        <v>0</v>
      </c>
    </row>
    <row r="109" spans="1:35" s="7" customFormat="1" ht="20.100000000000001" hidden="1" customHeight="1">
      <c r="A109" s="241">
        <v>5</v>
      </c>
      <c r="B109" s="243"/>
      <c r="C109" s="238"/>
      <c r="D109" s="238"/>
      <c r="E109" s="238"/>
      <c r="F109" s="567"/>
      <c r="G109" s="567"/>
      <c r="H109" s="567"/>
      <c r="I109" s="565">
        <f t="shared" si="110"/>
        <v>0</v>
      </c>
      <c r="J109" s="570"/>
      <c r="K109" s="567"/>
      <c r="L109" s="565">
        <f t="shared" si="111"/>
        <v>0</v>
      </c>
      <c r="M109" s="565">
        <f t="shared" si="112"/>
        <v>0</v>
      </c>
      <c r="N109" s="604"/>
      <c r="O109" s="256"/>
      <c r="P109" s="238"/>
      <c r="Q109" s="238"/>
      <c r="R109" s="567"/>
      <c r="S109" s="933">
        <f t="shared" si="107"/>
        <v>0</v>
      </c>
      <c r="T109" s="933"/>
      <c r="U109" s="565">
        <f t="shared" si="108"/>
        <v>0</v>
      </c>
      <c r="V109" s="570"/>
      <c r="W109" s="567"/>
      <c r="X109" s="565">
        <f t="shared" si="113"/>
        <v>0</v>
      </c>
      <c r="Y109" s="565">
        <f t="shared" si="114"/>
        <v>0</v>
      </c>
      <c r="Z109" s="601">
        <f t="shared" si="109"/>
        <v>0</v>
      </c>
      <c r="AB109" s="886"/>
      <c r="AC109" s="886"/>
      <c r="AI109" s="883">
        <f t="shared" si="85"/>
        <v>0</v>
      </c>
    </row>
    <row r="110" spans="1:35" s="7" customFormat="1" ht="20.100000000000001" hidden="1" customHeight="1">
      <c r="A110" s="561">
        <v>6</v>
      </c>
      <c r="B110" s="562"/>
      <c r="C110" s="359"/>
      <c r="D110" s="359"/>
      <c r="E110" s="359"/>
      <c r="F110" s="568"/>
      <c r="G110" s="568"/>
      <c r="H110" s="568"/>
      <c r="I110" s="565">
        <f t="shared" si="110"/>
        <v>0</v>
      </c>
      <c r="J110" s="571"/>
      <c r="K110" s="568"/>
      <c r="L110" s="565">
        <f t="shared" si="111"/>
        <v>0</v>
      </c>
      <c r="M110" s="565">
        <f t="shared" si="112"/>
        <v>0</v>
      </c>
      <c r="N110" s="604"/>
      <c r="O110" s="358"/>
      <c r="P110" s="359"/>
      <c r="Q110" s="359"/>
      <c r="R110" s="568"/>
      <c r="S110" s="933">
        <f t="shared" si="107"/>
        <v>0</v>
      </c>
      <c r="T110" s="933"/>
      <c r="U110" s="565">
        <f t="shared" si="108"/>
        <v>0</v>
      </c>
      <c r="V110" s="571"/>
      <c r="W110" s="568"/>
      <c r="X110" s="565">
        <f t="shared" si="113"/>
        <v>0</v>
      </c>
      <c r="Y110" s="565">
        <f t="shared" si="114"/>
        <v>0</v>
      </c>
      <c r="Z110" s="601">
        <f t="shared" si="109"/>
        <v>0</v>
      </c>
      <c r="AB110" s="886"/>
      <c r="AC110" s="886"/>
      <c r="AI110" s="883">
        <f t="shared" si="85"/>
        <v>0</v>
      </c>
    </row>
    <row r="111" spans="1:35" ht="20.100000000000001" customHeight="1">
      <c r="A111" s="1521" t="s">
        <v>752</v>
      </c>
      <c r="B111" s="1522"/>
      <c r="C111" s="856">
        <f>SUM(C105:C110)</f>
        <v>110</v>
      </c>
      <c r="D111" s="856">
        <f t="shared" ref="D111:Z111" si="115">SUM(D105:D110)</f>
        <v>95</v>
      </c>
      <c r="E111" s="856">
        <f t="shared" si="115"/>
        <v>100</v>
      </c>
      <c r="F111" s="856">
        <f t="shared" si="115"/>
        <v>108</v>
      </c>
      <c r="G111" s="856">
        <f t="shared" si="115"/>
        <v>413</v>
      </c>
      <c r="H111" s="856">
        <f t="shared" si="115"/>
        <v>92</v>
      </c>
      <c r="I111" s="856">
        <f t="shared" si="115"/>
        <v>505</v>
      </c>
      <c r="J111" s="856">
        <f t="shared" si="115"/>
        <v>60</v>
      </c>
      <c r="K111" s="856">
        <f t="shared" si="115"/>
        <v>0</v>
      </c>
      <c r="L111" s="856">
        <f t="shared" si="115"/>
        <v>60</v>
      </c>
      <c r="M111" s="856">
        <f t="shared" si="115"/>
        <v>565</v>
      </c>
      <c r="N111" s="856">
        <f t="shared" si="115"/>
        <v>0</v>
      </c>
      <c r="O111" s="856">
        <f t="shared" si="115"/>
        <v>0</v>
      </c>
      <c r="P111" s="856">
        <f t="shared" si="115"/>
        <v>0</v>
      </c>
      <c r="Q111" s="856">
        <f t="shared" si="115"/>
        <v>0</v>
      </c>
      <c r="R111" s="932">
        <f t="shared" si="115"/>
        <v>0</v>
      </c>
      <c r="S111" s="856"/>
      <c r="T111" s="856">
        <f t="shared" si="115"/>
        <v>0</v>
      </c>
      <c r="U111" s="856">
        <f t="shared" si="115"/>
        <v>0</v>
      </c>
      <c r="V111" s="856">
        <f t="shared" si="115"/>
        <v>0</v>
      </c>
      <c r="W111" s="856">
        <f t="shared" si="115"/>
        <v>0</v>
      </c>
      <c r="X111" s="856">
        <f t="shared" si="115"/>
        <v>0</v>
      </c>
      <c r="Y111" s="856">
        <f t="shared" si="115"/>
        <v>0</v>
      </c>
      <c r="Z111" s="856">
        <f t="shared" si="115"/>
        <v>565</v>
      </c>
      <c r="AI111" s="883">
        <f t="shared" si="85"/>
        <v>0</v>
      </c>
    </row>
    <row r="112" spans="1:35" ht="20.100000000000001" customHeight="1">
      <c r="A112" s="1478" t="s">
        <v>996</v>
      </c>
      <c r="B112" s="1480"/>
      <c r="C112" s="24"/>
      <c r="D112" s="24"/>
      <c r="E112" s="24"/>
      <c r="F112" s="24"/>
      <c r="G112" s="24"/>
      <c r="H112" s="24"/>
      <c r="I112" s="25"/>
      <c r="J112" s="24"/>
      <c r="K112" s="24"/>
      <c r="L112" s="25"/>
      <c r="M112" s="24"/>
      <c r="N112" s="604"/>
      <c r="O112" s="24"/>
      <c r="P112" s="24"/>
      <c r="Q112" s="24"/>
      <c r="R112" s="923"/>
      <c r="S112" s="24"/>
      <c r="T112" s="24"/>
      <c r="U112" s="25"/>
      <c r="V112" s="24"/>
      <c r="W112" s="24"/>
      <c r="X112" s="25"/>
      <c r="Y112" s="24"/>
      <c r="Z112" s="600"/>
      <c r="AI112" s="883">
        <f t="shared" si="85"/>
        <v>0</v>
      </c>
    </row>
    <row r="113" spans="1:35" s="7" customFormat="1" ht="18.95" customHeight="1">
      <c r="A113" s="241">
        <v>1</v>
      </c>
      <c r="B113" s="902" t="s">
        <v>1310</v>
      </c>
      <c r="C113" s="570">
        <f>4+34</f>
        <v>38</v>
      </c>
      <c r="D113" s="238">
        <f>16+29</f>
        <v>45</v>
      </c>
      <c r="E113" s="238">
        <f>6+22</f>
        <v>28</v>
      </c>
      <c r="F113" s="567">
        <f>12+15</f>
        <v>27</v>
      </c>
      <c r="G113" s="738">
        <f>SUM(C113:F113)</f>
        <v>138</v>
      </c>
      <c r="H113" s="567"/>
      <c r="I113" s="565">
        <f>C113+E113+H113+D113+F113</f>
        <v>138</v>
      </c>
      <c r="J113" s="570"/>
      <c r="K113" s="567"/>
      <c r="L113" s="565">
        <f>J113+K113</f>
        <v>0</v>
      </c>
      <c r="M113" s="565">
        <f>I113+L113</f>
        <v>138</v>
      </c>
      <c r="N113" s="604"/>
      <c r="O113" s="256">
        <f>6+8</f>
        <v>14</v>
      </c>
      <c r="P113" s="238">
        <f>2+2</f>
        <v>4</v>
      </c>
      <c r="Q113" s="238"/>
      <c r="R113" s="567"/>
      <c r="S113" s="803">
        <f t="shared" ref="S113:S118" si="116">SUM(O113:R113)</f>
        <v>18</v>
      </c>
      <c r="T113" s="804"/>
      <c r="U113" s="565">
        <f t="shared" ref="U113:U118" si="117">+O113+P113+Q113+R113+T113</f>
        <v>18</v>
      </c>
      <c r="V113" s="570"/>
      <c r="W113" s="567"/>
      <c r="X113" s="565">
        <f>V113+W113</f>
        <v>0</v>
      </c>
      <c r="Y113" s="565">
        <f>U113+X113</f>
        <v>18</v>
      </c>
      <c r="Z113" s="601">
        <f t="shared" ref="Z113:Z118" si="118">Y113+M113</f>
        <v>156</v>
      </c>
      <c r="AB113" s="886">
        <f>50500*2</f>
        <v>101000</v>
      </c>
      <c r="AC113" s="886"/>
      <c r="AI113" s="883">
        <f t="shared" si="85"/>
        <v>0</v>
      </c>
    </row>
    <row r="114" spans="1:35" s="7" customFormat="1" ht="20.100000000000001" hidden="1" customHeight="1">
      <c r="A114" s="241">
        <v>2</v>
      </c>
      <c r="B114" s="243"/>
      <c r="C114" s="238"/>
      <c r="D114" s="238"/>
      <c r="E114" s="238"/>
      <c r="F114" s="567"/>
      <c r="G114" s="567"/>
      <c r="H114" s="567"/>
      <c r="I114" s="565">
        <f t="shared" ref="I114:I118" si="119">C114+E114+H114+D114</f>
        <v>0</v>
      </c>
      <c r="J114" s="570"/>
      <c r="K114" s="567"/>
      <c r="L114" s="565">
        <f t="shared" ref="L114:L118" si="120">J114+K114</f>
        <v>0</v>
      </c>
      <c r="M114" s="565">
        <f t="shared" ref="M114:M118" si="121">I114+L114</f>
        <v>0</v>
      </c>
      <c r="N114" s="604"/>
      <c r="O114" s="256"/>
      <c r="P114" s="238"/>
      <c r="Q114" s="238"/>
      <c r="R114" s="567"/>
      <c r="S114" s="803">
        <f t="shared" si="116"/>
        <v>0</v>
      </c>
      <c r="T114" s="804"/>
      <c r="U114" s="565">
        <f t="shared" si="117"/>
        <v>0</v>
      </c>
      <c r="V114" s="570"/>
      <c r="W114" s="567"/>
      <c r="X114" s="565">
        <f t="shared" ref="X114:X118" si="122">V114+W114</f>
        <v>0</v>
      </c>
      <c r="Y114" s="565">
        <f t="shared" ref="Y114:Y118" si="123">U114+X114</f>
        <v>0</v>
      </c>
      <c r="Z114" s="601">
        <f t="shared" si="118"/>
        <v>0</v>
      </c>
      <c r="AB114" s="886"/>
      <c r="AC114" s="886"/>
      <c r="AI114" s="883">
        <f t="shared" si="85"/>
        <v>0</v>
      </c>
    </row>
    <row r="115" spans="1:35" s="7" customFormat="1" ht="20.100000000000001" hidden="1" customHeight="1">
      <c r="A115" s="241">
        <v>3</v>
      </c>
      <c r="B115" s="243"/>
      <c r="C115" s="238"/>
      <c r="D115" s="238"/>
      <c r="E115" s="238"/>
      <c r="F115" s="567"/>
      <c r="G115" s="567"/>
      <c r="H115" s="567"/>
      <c r="I115" s="565">
        <f t="shared" si="119"/>
        <v>0</v>
      </c>
      <c r="J115" s="570"/>
      <c r="K115" s="567"/>
      <c r="L115" s="565">
        <f t="shared" si="120"/>
        <v>0</v>
      </c>
      <c r="M115" s="565">
        <f t="shared" si="121"/>
        <v>0</v>
      </c>
      <c r="N115" s="604"/>
      <c r="O115" s="256"/>
      <c r="P115" s="238"/>
      <c r="Q115" s="238"/>
      <c r="R115" s="567"/>
      <c r="S115" s="803">
        <f t="shared" si="116"/>
        <v>0</v>
      </c>
      <c r="T115" s="804"/>
      <c r="U115" s="565">
        <f t="shared" si="117"/>
        <v>0</v>
      </c>
      <c r="V115" s="570"/>
      <c r="W115" s="567"/>
      <c r="X115" s="565">
        <f t="shared" si="122"/>
        <v>0</v>
      </c>
      <c r="Y115" s="565">
        <f t="shared" si="123"/>
        <v>0</v>
      </c>
      <c r="Z115" s="601">
        <f t="shared" si="118"/>
        <v>0</v>
      </c>
      <c r="AB115" s="886"/>
      <c r="AC115" s="886"/>
      <c r="AI115" s="883">
        <f t="shared" si="85"/>
        <v>0</v>
      </c>
    </row>
    <row r="116" spans="1:35" s="7" customFormat="1" ht="20.100000000000001" hidden="1" customHeight="1">
      <c r="A116" s="241">
        <v>4</v>
      </c>
      <c r="B116" s="243"/>
      <c r="C116" s="238"/>
      <c r="D116" s="238"/>
      <c r="E116" s="238"/>
      <c r="F116" s="567"/>
      <c r="G116" s="567"/>
      <c r="H116" s="567"/>
      <c r="I116" s="565">
        <f t="shared" si="119"/>
        <v>0</v>
      </c>
      <c r="J116" s="570"/>
      <c r="K116" s="567"/>
      <c r="L116" s="565">
        <f t="shared" si="120"/>
        <v>0</v>
      </c>
      <c r="M116" s="565">
        <f t="shared" si="121"/>
        <v>0</v>
      </c>
      <c r="N116" s="604"/>
      <c r="O116" s="256"/>
      <c r="P116" s="238"/>
      <c r="Q116" s="238"/>
      <c r="R116" s="567"/>
      <c r="S116" s="803">
        <f t="shared" si="116"/>
        <v>0</v>
      </c>
      <c r="T116" s="804"/>
      <c r="U116" s="565">
        <f t="shared" si="117"/>
        <v>0</v>
      </c>
      <c r="V116" s="570"/>
      <c r="W116" s="567"/>
      <c r="X116" s="565">
        <f t="shared" si="122"/>
        <v>0</v>
      </c>
      <c r="Y116" s="565">
        <f t="shared" si="123"/>
        <v>0</v>
      </c>
      <c r="Z116" s="601">
        <f t="shared" si="118"/>
        <v>0</v>
      </c>
      <c r="AB116" s="886"/>
      <c r="AC116" s="886"/>
      <c r="AI116" s="883">
        <f t="shared" si="85"/>
        <v>0</v>
      </c>
    </row>
    <row r="117" spans="1:35" s="7" customFormat="1" ht="20.100000000000001" hidden="1" customHeight="1">
      <c r="A117" s="241">
        <v>5</v>
      </c>
      <c r="B117" s="243"/>
      <c r="C117" s="238"/>
      <c r="D117" s="238"/>
      <c r="E117" s="238"/>
      <c r="F117" s="567"/>
      <c r="G117" s="567"/>
      <c r="H117" s="567"/>
      <c r="I117" s="565">
        <f t="shared" si="119"/>
        <v>0</v>
      </c>
      <c r="J117" s="570"/>
      <c r="K117" s="567"/>
      <c r="L117" s="565">
        <f t="shared" si="120"/>
        <v>0</v>
      </c>
      <c r="M117" s="565">
        <f t="shared" si="121"/>
        <v>0</v>
      </c>
      <c r="N117" s="604"/>
      <c r="O117" s="256"/>
      <c r="P117" s="238"/>
      <c r="Q117" s="238"/>
      <c r="R117" s="567"/>
      <c r="S117" s="803">
        <f t="shared" si="116"/>
        <v>0</v>
      </c>
      <c r="T117" s="804"/>
      <c r="U117" s="565">
        <f t="shared" si="117"/>
        <v>0</v>
      </c>
      <c r="V117" s="570"/>
      <c r="W117" s="567"/>
      <c r="X117" s="565">
        <f t="shared" si="122"/>
        <v>0</v>
      </c>
      <c r="Y117" s="565">
        <f t="shared" si="123"/>
        <v>0</v>
      </c>
      <c r="Z117" s="601">
        <f t="shared" si="118"/>
        <v>0</v>
      </c>
      <c r="AB117" s="886"/>
      <c r="AC117" s="886"/>
      <c r="AI117" s="883">
        <f t="shared" si="85"/>
        <v>0</v>
      </c>
    </row>
    <row r="118" spans="1:35" s="7" customFormat="1" ht="20.100000000000001" hidden="1" customHeight="1">
      <c r="A118" s="561">
        <v>6</v>
      </c>
      <c r="B118" s="562"/>
      <c r="C118" s="359"/>
      <c r="D118" s="359"/>
      <c r="E118" s="359"/>
      <c r="F118" s="568"/>
      <c r="G118" s="568"/>
      <c r="H118" s="568"/>
      <c r="I118" s="565">
        <f t="shared" si="119"/>
        <v>0</v>
      </c>
      <c r="J118" s="571"/>
      <c r="K118" s="568"/>
      <c r="L118" s="565">
        <f t="shared" si="120"/>
        <v>0</v>
      </c>
      <c r="M118" s="565">
        <f t="shared" si="121"/>
        <v>0</v>
      </c>
      <c r="N118" s="604"/>
      <c r="O118" s="358"/>
      <c r="P118" s="359"/>
      <c r="Q118" s="359"/>
      <c r="R118" s="568"/>
      <c r="S118" s="803">
        <f t="shared" si="116"/>
        <v>0</v>
      </c>
      <c r="T118" s="804"/>
      <c r="U118" s="565">
        <f t="shared" si="117"/>
        <v>0</v>
      </c>
      <c r="V118" s="571"/>
      <c r="W118" s="568"/>
      <c r="X118" s="565">
        <f t="shared" si="122"/>
        <v>0</v>
      </c>
      <c r="Y118" s="565">
        <f t="shared" si="123"/>
        <v>0</v>
      </c>
      <c r="Z118" s="601">
        <f t="shared" si="118"/>
        <v>0</v>
      </c>
      <c r="AB118" s="886"/>
      <c r="AC118" s="886"/>
      <c r="AI118" s="883">
        <f t="shared" si="85"/>
        <v>0</v>
      </c>
    </row>
    <row r="119" spans="1:35" ht="20.100000000000001" customHeight="1">
      <c r="A119" s="1521" t="s">
        <v>752</v>
      </c>
      <c r="B119" s="1522"/>
      <c r="C119" s="856">
        <f>SUM(C113:C118)</f>
        <v>38</v>
      </c>
      <c r="D119" s="856">
        <f t="shared" ref="D119:Z119" si="124">SUM(D113:D118)</f>
        <v>45</v>
      </c>
      <c r="E119" s="856">
        <f t="shared" si="124"/>
        <v>28</v>
      </c>
      <c r="F119" s="856">
        <f t="shared" si="124"/>
        <v>27</v>
      </c>
      <c r="G119" s="856">
        <f t="shared" si="124"/>
        <v>138</v>
      </c>
      <c r="H119" s="856">
        <f t="shared" si="124"/>
        <v>0</v>
      </c>
      <c r="I119" s="856">
        <f t="shared" si="124"/>
        <v>138</v>
      </c>
      <c r="J119" s="856">
        <f t="shared" si="124"/>
        <v>0</v>
      </c>
      <c r="K119" s="856">
        <f t="shared" si="124"/>
        <v>0</v>
      </c>
      <c r="L119" s="856">
        <f t="shared" si="124"/>
        <v>0</v>
      </c>
      <c r="M119" s="856">
        <f t="shared" si="124"/>
        <v>138</v>
      </c>
      <c r="N119" s="856">
        <f t="shared" si="124"/>
        <v>0</v>
      </c>
      <c r="O119" s="856">
        <f t="shared" si="124"/>
        <v>14</v>
      </c>
      <c r="P119" s="856">
        <f t="shared" si="124"/>
        <v>4</v>
      </c>
      <c r="Q119" s="856">
        <f t="shared" si="124"/>
        <v>0</v>
      </c>
      <c r="R119" s="856">
        <f t="shared" si="124"/>
        <v>0</v>
      </c>
      <c r="S119" s="856"/>
      <c r="T119" s="856">
        <f t="shared" si="124"/>
        <v>0</v>
      </c>
      <c r="U119" s="856">
        <f t="shared" si="124"/>
        <v>18</v>
      </c>
      <c r="V119" s="856">
        <f t="shared" si="124"/>
        <v>0</v>
      </c>
      <c r="W119" s="856">
        <f t="shared" si="124"/>
        <v>0</v>
      </c>
      <c r="X119" s="856">
        <f t="shared" si="124"/>
        <v>0</v>
      </c>
      <c r="Y119" s="856">
        <f t="shared" si="124"/>
        <v>18</v>
      </c>
      <c r="Z119" s="856">
        <f t="shared" si="124"/>
        <v>156</v>
      </c>
      <c r="AI119" s="883">
        <f t="shared" si="85"/>
        <v>0</v>
      </c>
    </row>
    <row r="120" spans="1:35" ht="34.5" customHeight="1">
      <c r="A120" s="1537" t="s">
        <v>136</v>
      </c>
      <c r="B120" s="1538"/>
      <c r="C120" s="602">
        <f>C20+C36+C43+C54+C69+C77+C87+C95+C103+C119+C111</f>
        <v>1962</v>
      </c>
      <c r="D120" s="602">
        <f>D20+D36+D43+D54+D69+D77+D87+D95+D103+D119+D111</f>
        <v>1836</v>
      </c>
      <c r="E120" s="602">
        <f>E20+E36+E43+E54+E69+E77+E87+E95+E103+E119+E111</f>
        <v>1373</v>
      </c>
      <c r="F120" s="602">
        <f>F20+F36+F43+F54+F69+F77+F87+F95+F103+F119+F111</f>
        <v>1282</v>
      </c>
      <c r="G120" s="738">
        <f>SUM(C120:F120)</f>
        <v>6453</v>
      </c>
      <c r="H120" s="602">
        <f t="shared" ref="H120:M120" si="125">H20+H36+H43+H54+H69+H77+H87+H95+H103+H119+H111</f>
        <v>2625</v>
      </c>
      <c r="I120" s="602">
        <f>I20+I36+I43+I54+I69+I77+I87+I95+I103+I119+I111</f>
        <v>9078</v>
      </c>
      <c r="J120" s="602">
        <f t="shared" si="125"/>
        <v>1579</v>
      </c>
      <c r="K120" s="602">
        <f t="shared" si="125"/>
        <v>752</v>
      </c>
      <c r="L120" s="602">
        <f t="shared" si="125"/>
        <v>2331</v>
      </c>
      <c r="M120" s="602">
        <f t="shared" si="125"/>
        <v>11409</v>
      </c>
      <c r="N120" s="605"/>
      <c r="O120" s="602">
        <f t="shared" ref="O120:Y120" si="126">O20+O36+O43+O54+O69+O77+O87+O95+O103+O119+O111</f>
        <v>975</v>
      </c>
      <c r="P120" s="602">
        <f t="shared" si="126"/>
        <v>1110</v>
      </c>
      <c r="Q120" s="602">
        <f t="shared" si="126"/>
        <v>738</v>
      </c>
      <c r="R120" s="602">
        <f t="shared" si="126"/>
        <v>347</v>
      </c>
      <c r="S120" s="602">
        <f t="shared" si="126"/>
        <v>1208</v>
      </c>
      <c r="T120" s="602">
        <f t="shared" si="126"/>
        <v>382</v>
      </c>
      <c r="U120" s="602">
        <f t="shared" si="126"/>
        <v>3552</v>
      </c>
      <c r="V120" s="602">
        <f t="shared" si="126"/>
        <v>0</v>
      </c>
      <c r="W120" s="602">
        <f t="shared" si="126"/>
        <v>0</v>
      </c>
      <c r="X120" s="602">
        <f t="shared" si="126"/>
        <v>0</v>
      </c>
      <c r="Y120" s="602">
        <f t="shared" si="126"/>
        <v>3552</v>
      </c>
      <c r="Z120" s="602">
        <f>Z20+Z36+Z43+Z54+Z69+Z77+Z87+Z95+Z103+Z119+Z111</f>
        <v>14961</v>
      </c>
      <c r="AC120" s="883">
        <f>+Y120+M120</f>
        <v>14961</v>
      </c>
      <c r="AE120" s="9">
        <f>SUM(AE1:AE119)</f>
        <v>439</v>
      </c>
      <c r="AF120" s="9">
        <f>SUM(AF1:AF119)</f>
        <v>108</v>
      </c>
      <c r="AG120" s="9">
        <f>SUM(AG1:AG119)</f>
        <v>0</v>
      </c>
      <c r="AI120" s="883">
        <f t="shared" si="85"/>
        <v>0</v>
      </c>
    </row>
    <row r="121" spans="1:35">
      <c r="AC121" s="883">
        <f>+'102(a)'!C29</f>
        <v>15035</v>
      </c>
      <c r="AI121" s="883">
        <f t="shared" si="85"/>
        <v>0</v>
      </c>
    </row>
    <row r="122" spans="1:35">
      <c r="AC122" s="883">
        <f>+'102(a)'!C33</f>
        <v>74</v>
      </c>
      <c r="AF122" s="9">
        <f>+AF120+AE120</f>
        <v>547</v>
      </c>
    </row>
    <row r="123" spans="1:35">
      <c r="AC123" s="883">
        <f>+AC121-AC122</f>
        <v>14961</v>
      </c>
      <c r="AF123" s="799">
        <f>+AF122+Z120</f>
        <v>15508</v>
      </c>
    </row>
    <row r="124" spans="1:35">
      <c r="B124" s="612"/>
      <c r="C124" s="612"/>
      <c r="D124" s="612"/>
      <c r="E124" s="612"/>
      <c r="F124" s="612"/>
      <c r="G124" s="612"/>
      <c r="H124" s="901"/>
      <c r="U124" s="612"/>
      <c r="V124" s="612"/>
      <c r="W124" s="612"/>
      <c r="X124" s="612"/>
      <c r="Y124" s="612"/>
      <c r="Z124" s="614"/>
      <c r="AC124" s="883">
        <f>+AC120-AC123</f>
        <v>0</v>
      </c>
    </row>
    <row r="125" spans="1:35" ht="18">
      <c r="B125" s="613" t="s">
        <v>1028</v>
      </c>
      <c r="C125" s="611"/>
      <c r="D125" s="611"/>
      <c r="E125" s="611"/>
      <c r="U125" s="613" t="s">
        <v>1029</v>
      </c>
      <c r="V125" s="611"/>
      <c r="W125" s="611"/>
      <c r="X125" s="611"/>
      <c r="Y125" s="1"/>
    </row>
    <row r="132" spans="10:10">
      <c r="J132" s="800">
        <f>+I120+J120+K120</f>
        <v>11409</v>
      </c>
    </row>
    <row r="133" spans="10:10">
      <c r="J133" s="800">
        <f>+Y120</f>
        <v>3552</v>
      </c>
    </row>
    <row r="134" spans="10:10">
      <c r="J134" s="800">
        <f>+J132+J133</f>
        <v>14961</v>
      </c>
    </row>
    <row r="135" spans="10:10">
      <c r="J135" s="1">
        <f>+'102(a)'!C29</f>
        <v>15035</v>
      </c>
    </row>
    <row r="136" spans="10:10">
      <c r="J136" s="800">
        <f>+J134-J135</f>
        <v>-74</v>
      </c>
    </row>
  </sheetData>
  <mergeCells count="40">
    <mergeCell ref="J7:L7"/>
    <mergeCell ref="C5:M5"/>
    <mergeCell ref="A2:Z2"/>
    <mergeCell ref="A5:B8"/>
    <mergeCell ref="O6:Y6"/>
    <mergeCell ref="O7:U7"/>
    <mergeCell ref="V7:X7"/>
    <mergeCell ref="Y7:Y8"/>
    <mergeCell ref="A120:B120"/>
    <mergeCell ref="Z5:Z8"/>
    <mergeCell ref="A70:B70"/>
    <mergeCell ref="A77:B77"/>
    <mergeCell ref="A78:B78"/>
    <mergeCell ref="A87:B87"/>
    <mergeCell ref="A54:B54"/>
    <mergeCell ref="A55:B55"/>
    <mergeCell ref="A69:B69"/>
    <mergeCell ref="A44:B44"/>
    <mergeCell ref="M7:M8"/>
    <mergeCell ref="A20:B20"/>
    <mergeCell ref="A36:B36"/>
    <mergeCell ref="A37:B37"/>
    <mergeCell ref="A43:B43"/>
    <mergeCell ref="C6:M6"/>
    <mergeCell ref="Y1:Z1"/>
    <mergeCell ref="A104:B104"/>
    <mergeCell ref="A111:B111"/>
    <mergeCell ref="A112:B112"/>
    <mergeCell ref="A119:B119"/>
    <mergeCell ref="A88:B88"/>
    <mergeCell ref="A95:B95"/>
    <mergeCell ref="A96:B96"/>
    <mergeCell ref="A103:B103"/>
    <mergeCell ref="C7:I7"/>
    <mergeCell ref="O5:Y5"/>
    <mergeCell ref="A9:M9"/>
    <mergeCell ref="O9:Y9"/>
    <mergeCell ref="A21:M21"/>
    <mergeCell ref="O21:Y21"/>
    <mergeCell ref="C3:M3"/>
  </mergeCells>
  <hyperlinks>
    <hyperlink ref="C7:I7" location="PQF!A1" display="PQF!A1"/>
    <hyperlink ref="J7:L7" location="PQF!A1" display="PQF!A1"/>
    <hyperlink ref="V7:X7" location="PQF!A1" display="PQF!A1"/>
    <hyperlink ref="O7:U7" location="PQF!A1" display="PQF!A1"/>
    <hyperlink ref="F7" location="PQF!A1" display="PQF!A1"/>
  </hyperlinks>
  <printOptions horizontalCentered="1"/>
  <pageMargins left="0.25" right="0.25" top="0.25" bottom="0.25" header="0.5" footer="0.5"/>
  <pageSetup paperSize="9" scale="65" fitToWidth="0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AL127"/>
  <sheetViews>
    <sheetView view="pageBreakPreview" zoomScale="80" zoomScaleNormal="69" zoomScaleSheetLayoutView="80" workbookViewId="0">
      <pane xSplit="2" ySplit="10" topLeftCell="C111" activePane="bottomRight" state="frozen"/>
      <selection pane="topRight" activeCell="C1" sqref="C1"/>
      <selection pane="bottomLeft" activeCell="A11" sqref="A11"/>
      <selection pane="bottomRight" activeCell="P92" sqref="P92"/>
    </sheetView>
  </sheetViews>
  <sheetFormatPr defaultRowHeight="15.75"/>
  <cols>
    <col min="1" max="1" width="3.7109375" style="233" customWidth="1"/>
    <col min="2" max="2" width="22.7109375" style="190" customWidth="1"/>
    <col min="3" max="11" width="8.7109375" style="1" customWidth="1"/>
    <col min="12" max="12" width="9.5703125" style="1" customWidth="1"/>
    <col min="13" max="13" width="1.28515625" style="1" customWidth="1"/>
    <col min="14" max="19" width="8.7109375" style="1" customWidth="1"/>
    <col min="20" max="22" width="7.28515625" style="1" customWidth="1"/>
    <col min="23" max="23" width="8.7109375" style="1" customWidth="1"/>
    <col min="24" max="24" width="13.7109375" style="599" customWidth="1"/>
    <col min="25" max="25" width="14.28515625" style="9" customWidth="1"/>
    <col min="26" max="27" width="8.85546875" style="857" customWidth="1"/>
    <col min="28" max="28" width="10.28515625" style="857" customWidth="1"/>
    <col min="29" max="30" width="8.85546875" style="857" customWidth="1"/>
    <col min="31" max="31" width="14.28515625" style="857" customWidth="1"/>
    <col min="32" max="246" width="9.140625" style="9"/>
    <col min="247" max="247" width="38.5703125" style="9" customWidth="1"/>
    <col min="248" max="248" width="6.5703125" style="9" customWidth="1"/>
    <col min="249" max="249" width="7.7109375" style="9" bestFit="1" customWidth="1"/>
    <col min="250" max="250" width="7.28515625" style="9" customWidth="1"/>
    <col min="251" max="251" width="6.5703125" style="9" bestFit="1" customWidth="1"/>
    <col min="252" max="252" width="7.28515625" style="9" bestFit="1" customWidth="1"/>
    <col min="253" max="253" width="8.140625" style="9" customWidth="1"/>
    <col min="254" max="254" width="7.140625" style="9" customWidth="1"/>
    <col min="255" max="255" width="7.7109375" style="9" bestFit="1" customWidth="1"/>
    <col min="256" max="256" width="7.28515625" style="9" customWidth="1"/>
    <col min="257" max="257" width="7" style="9" customWidth="1"/>
    <col min="258" max="258" width="7.5703125" style="9" customWidth="1"/>
    <col min="259" max="259" width="7.140625" style="9" customWidth="1"/>
    <col min="260" max="260" width="7" style="9" customWidth="1"/>
    <col min="261" max="261" width="7.5703125" style="9" customWidth="1"/>
    <col min="262" max="262" width="7.140625" style="9" customWidth="1"/>
    <col min="263" max="279" width="8.7109375" style="9" customWidth="1"/>
    <col min="280" max="280" width="36.85546875" style="9" customWidth="1"/>
    <col min="281" max="287" width="14.28515625" style="9" customWidth="1"/>
    <col min="288" max="502" width="9.140625" style="9"/>
    <col min="503" max="503" width="38.5703125" style="9" customWidth="1"/>
    <col min="504" max="504" width="6.5703125" style="9" customWidth="1"/>
    <col min="505" max="505" width="7.7109375" style="9" bestFit="1" customWidth="1"/>
    <col min="506" max="506" width="7.28515625" style="9" customWidth="1"/>
    <col min="507" max="507" width="6.5703125" style="9" bestFit="1" customWidth="1"/>
    <col min="508" max="508" width="7.28515625" style="9" bestFit="1" customWidth="1"/>
    <col min="509" max="509" width="8.140625" style="9" customWidth="1"/>
    <col min="510" max="510" width="7.140625" style="9" customWidth="1"/>
    <col min="511" max="511" width="7.7109375" style="9" bestFit="1" customWidth="1"/>
    <col min="512" max="512" width="7.28515625" style="9" customWidth="1"/>
    <col min="513" max="513" width="7" style="9" customWidth="1"/>
    <col min="514" max="514" width="7.5703125" style="9" customWidth="1"/>
    <col min="515" max="515" width="7.140625" style="9" customWidth="1"/>
    <col min="516" max="516" width="7" style="9" customWidth="1"/>
    <col min="517" max="517" width="7.5703125" style="9" customWidth="1"/>
    <col min="518" max="518" width="7.140625" style="9" customWidth="1"/>
    <col min="519" max="535" width="8.7109375" style="9" customWidth="1"/>
    <col min="536" max="536" width="36.85546875" style="9" customWidth="1"/>
    <col min="537" max="543" width="14.28515625" style="9" customWidth="1"/>
    <col min="544" max="758" width="9.140625" style="9"/>
    <col min="759" max="759" width="38.5703125" style="9" customWidth="1"/>
    <col min="760" max="760" width="6.5703125" style="9" customWidth="1"/>
    <col min="761" max="761" width="7.7109375" style="9" bestFit="1" customWidth="1"/>
    <col min="762" max="762" width="7.28515625" style="9" customWidth="1"/>
    <col min="763" max="763" width="6.5703125" style="9" bestFit="1" customWidth="1"/>
    <col min="764" max="764" width="7.28515625" style="9" bestFit="1" customWidth="1"/>
    <col min="765" max="765" width="8.140625" style="9" customWidth="1"/>
    <col min="766" max="766" width="7.140625" style="9" customWidth="1"/>
    <col min="767" max="767" width="7.7109375" style="9" bestFit="1" customWidth="1"/>
    <col min="768" max="768" width="7.28515625" style="9" customWidth="1"/>
    <col min="769" max="769" width="7" style="9" customWidth="1"/>
    <col min="770" max="770" width="7.5703125" style="9" customWidth="1"/>
    <col min="771" max="771" width="7.140625" style="9" customWidth="1"/>
    <col min="772" max="772" width="7" style="9" customWidth="1"/>
    <col min="773" max="773" width="7.5703125" style="9" customWidth="1"/>
    <col min="774" max="774" width="7.140625" style="9" customWidth="1"/>
    <col min="775" max="791" width="8.7109375" style="9" customWidth="1"/>
    <col min="792" max="792" width="36.85546875" style="9" customWidth="1"/>
    <col min="793" max="799" width="14.28515625" style="9" customWidth="1"/>
    <col min="800" max="1014" width="9.140625" style="9"/>
    <col min="1015" max="1015" width="38.5703125" style="9" customWidth="1"/>
    <col min="1016" max="1016" width="6.5703125" style="9" customWidth="1"/>
    <col min="1017" max="1017" width="7.7109375" style="9" bestFit="1" customWidth="1"/>
    <col min="1018" max="1018" width="7.28515625" style="9" customWidth="1"/>
    <col min="1019" max="1019" width="6.5703125" style="9" bestFit="1" customWidth="1"/>
    <col min="1020" max="1020" width="7.28515625" style="9" bestFit="1" customWidth="1"/>
    <col min="1021" max="1021" width="8.140625" style="9" customWidth="1"/>
    <col min="1022" max="1022" width="7.140625" style="9" customWidth="1"/>
    <col min="1023" max="1023" width="7.7109375" style="9" bestFit="1" customWidth="1"/>
    <col min="1024" max="1024" width="7.28515625" style="9" customWidth="1"/>
    <col min="1025" max="1025" width="7" style="9" customWidth="1"/>
    <col min="1026" max="1026" width="7.5703125" style="9" customWidth="1"/>
    <col min="1027" max="1027" width="7.140625" style="9" customWidth="1"/>
    <col min="1028" max="1028" width="7" style="9" customWidth="1"/>
    <col min="1029" max="1029" width="7.5703125" style="9" customWidth="1"/>
    <col min="1030" max="1030" width="7.140625" style="9" customWidth="1"/>
    <col min="1031" max="1047" width="8.7109375" style="9" customWidth="1"/>
    <col min="1048" max="1048" width="36.85546875" style="9" customWidth="1"/>
    <col min="1049" max="1055" width="14.28515625" style="9" customWidth="1"/>
    <col min="1056" max="1270" width="9.140625" style="9"/>
    <col min="1271" max="1271" width="38.5703125" style="9" customWidth="1"/>
    <col min="1272" max="1272" width="6.5703125" style="9" customWidth="1"/>
    <col min="1273" max="1273" width="7.7109375" style="9" bestFit="1" customWidth="1"/>
    <col min="1274" max="1274" width="7.28515625" style="9" customWidth="1"/>
    <col min="1275" max="1275" width="6.5703125" style="9" bestFit="1" customWidth="1"/>
    <col min="1276" max="1276" width="7.28515625" style="9" bestFit="1" customWidth="1"/>
    <col min="1277" max="1277" width="8.140625" style="9" customWidth="1"/>
    <col min="1278" max="1278" width="7.140625" style="9" customWidth="1"/>
    <col min="1279" max="1279" width="7.7109375" style="9" bestFit="1" customWidth="1"/>
    <col min="1280" max="1280" width="7.28515625" style="9" customWidth="1"/>
    <col min="1281" max="1281" width="7" style="9" customWidth="1"/>
    <col min="1282" max="1282" width="7.5703125" style="9" customWidth="1"/>
    <col min="1283" max="1283" width="7.140625" style="9" customWidth="1"/>
    <col min="1284" max="1284" width="7" style="9" customWidth="1"/>
    <col min="1285" max="1285" width="7.5703125" style="9" customWidth="1"/>
    <col min="1286" max="1286" width="7.140625" style="9" customWidth="1"/>
    <col min="1287" max="1303" width="8.7109375" style="9" customWidth="1"/>
    <col min="1304" max="1304" width="36.85546875" style="9" customWidth="1"/>
    <col min="1305" max="1311" width="14.28515625" style="9" customWidth="1"/>
    <col min="1312" max="1526" width="9.140625" style="9"/>
    <col min="1527" max="1527" width="38.5703125" style="9" customWidth="1"/>
    <col min="1528" max="1528" width="6.5703125" style="9" customWidth="1"/>
    <col min="1529" max="1529" width="7.7109375" style="9" bestFit="1" customWidth="1"/>
    <col min="1530" max="1530" width="7.28515625" style="9" customWidth="1"/>
    <col min="1531" max="1531" width="6.5703125" style="9" bestFit="1" customWidth="1"/>
    <col min="1532" max="1532" width="7.28515625" style="9" bestFit="1" customWidth="1"/>
    <col min="1533" max="1533" width="8.140625" style="9" customWidth="1"/>
    <col min="1534" max="1534" width="7.140625" style="9" customWidth="1"/>
    <col min="1535" max="1535" width="7.7109375" style="9" bestFit="1" customWidth="1"/>
    <col min="1536" max="1536" width="7.28515625" style="9" customWidth="1"/>
    <col min="1537" max="1537" width="7" style="9" customWidth="1"/>
    <col min="1538" max="1538" width="7.5703125" style="9" customWidth="1"/>
    <col min="1539" max="1539" width="7.140625" style="9" customWidth="1"/>
    <col min="1540" max="1540" width="7" style="9" customWidth="1"/>
    <col min="1541" max="1541" width="7.5703125" style="9" customWidth="1"/>
    <col min="1542" max="1542" width="7.140625" style="9" customWidth="1"/>
    <col min="1543" max="1559" width="8.7109375" style="9" customWidth="1"/>
    <col min="1560" max="1560" width="36.85546875" style="9" customWidth="1"/>
    <col min="1561" max="1567" width="14.28515625" style="9" customWidth="1"/>
    <col min="1568" max="1782" width="9.140625" style="9"/>
    <col min="1783" max="1783" width="38.5703125" style="9" customWidth="1"/>
    <col min="1784" max="1784" width="6.5703125" style="9" customWidth="1"/>
    <col min="1785" max="1785" width="7.7109375" style="9" bestFit="1" customWidth="1"/>
    <col min="1786" max="1786" width="7.28515625" style="9" customWidth="1"/>
    <col min="1787" max="1787" width="6.5703125" style="9" bestFit="1" customWidth="1"/>
    <col min="1788" max="1788" width="7.28515625" style="9" bestFit="1" customWidth="1"/>
    <col min="1789" max="1789" width="8.140625" style="9" customWidth="1"/>
    <col min="1790" max="1790" width="7.140625" style="9" customWidth="1"/>
    <col min="1791" max="1791" width="7.7109375" style="9" bestFit="1" customWidth="1"/>
    <col min="1792" max="1792" width="7.28515625" style="9" customWidth="1"/>
    <col min="1793" max="1793" width="7" style="9" customWidth="1"/>
    <col min="1794" max="1794" width="7.5703125" style="9" customWidth="1"/>
    <col min="1795" max="1795" width="7.140625" style="9" customWidth="1"/>
    <col min="1796" max="1796" width="7" style="9" customWidth="1"/>
    <col min="1797" max="1797" width="7.5703125" style="9" customWidth="1"/>
    <col min="1798" max="1798" width="7.140625" style="9" customWidth="1"/>
    <col min="1799" max="1815" width="8.7109375" style="9" customWidth="1"/>
    <col min="1816" max="1816" width="36.85546875" style="9" customWidth="1"/>
    <col min="1817" max="1823" width="14.28515625" style="9" customWidth="1"/>
    <col min="1824" max="2038" width="9.140625" style="9"/>
    <col min="2039" max="2039" width="38.5703125" style="9" customWidth="1"/>
    <col min="2040" max="2040" width="6.5703125" style="9" customWidth="1"/>
    <col min="2041" max="2041" width="7.7109375" style="9" bestFit="1" customWidth="1"/>
    <col min="2042" max="2042" width="7.28515625" style="9" customWidth="1"/>
    <col min="2043" max="2043" width="6.5703125" style="9" bestFit="1" customWidth="1"/>
    <col min="2044" max="2044" width="7.28515625" style="9" bestFit="1" customWidth="1"/>
    <col min="2045" max="2045" width="8.140625" style="9" customWidth="1"/>
    <col min="2046" max="2046" width="7.140625" style="9" customWidth="1"/>
    <col min="2047" max="2047" width="7.7109375" style="9" bestFit="1" customWidth="1"/>
    <col min="2048" max="2048" width="7.28515625" style="9" customWidth="1"/>
    <col min="2049" max="2049" width="7" style="9" customWidth="1"/>
    <col min="2050" max="2050" width="7.5703125" style="9" customWidth="1"/>
    <col min="2051" max="2051" width="7.140625" style="9" customWidth="1"/>
    <col min="2052" max="2052" width="7" style="9" customWidth="1"/>
    <col min="2053" max="2053" width="7.5703125" style="9" customWidth="1"/>
    <col min="2054" max="2054" width="7.140625" style="9" customWidth="1"/>
    <col min="2055" max="2071" width="8.7109375" style="9" customWidth="1"/>
    <col min="2072" max="2072" width="36.85546875" style="9" customWidth="1"/>
    <col min="2073" max="2079" width="14.28515625" style="9" customWidth="1"/>
    <col min="2080" max="2294" width="9.140625" style="9"/>
    <col min="2295" max="2295" width="38.5703125" style="9" customWidth="1"/>
    <col min="2296" max="2296" width="6.5703125" style="9" customWidth="1"/>
    <col min="2297" max="2297" width="7.7109375" style="9" bestFit="1" customWidth="1"/>
    <col min="2298" max="2298" width="7.28515625" style="9" customWidth="1"/>
    <col min="2299" max="2299" width="6.5703125" style="9" bestFit="1" customWidth="1"/>
    <col min="2300" max="2300" width="7.28515625" style="9" bestFit="1" customWidth="1"/>
    <col min="2301" max="2301" width="8.140625" style="9" customWidth="1"/>
    <col min="2302" max="2302" width="7.140625" style="9" customWidth="1"/>
    <col min="2303" max="2303" width="7.7109375" style="9" bestFit="1" customWidth="1"/>
    <col min="2304" max="2304" width="7.28515625" style="9" customWidth="1"/>
    <col min="2305" max="2305" width="7" style="9" customWidth="1"/>
    <col min="2306" max="2306" width="7.5703125" style="9" customWidth="1"/>
    <col min="2307" max="2307" width="7.140625" style="9" customWidth="1"/>
    <col min="2308" max="2308" width="7" style="9" customWidth="1"/>
    <col min="2309" max="2309" width="7.5703125" style="9" customWidth="1"/>
    <col min="2310" max="2310" width="7.140625" style="9" customWidth="1"/>
    <col min="2311" max="2327" width="8.7109375" style="9" customWidth="1"/>
    <col min="2328" max="2328" width="36.85546875" style="9" customWidth="1"/>
    <col min="2329" max="2335" width="14.28515625" style="9" customWidth="1"/>
    <col min="2336" max="2550" width="9.140625" style="9"/>
    <col min="2551" max="2551" width="38.5703125" style="9" customWidth="1"/>
    <col min="2552" max="2552" width="6.5703125" style="9" customWidth="1"/>
    <col min="2553" max="2553" width="7.7109375" style="9" bestFit="1" customWidth="1"/>
    <col min="2554" max="2554" width="7.28515625" style="9" customWidth="1"/>
    <col min="2555" max="2555" width="6.5703125" style="9" bestFit="1" customWidth="1"/>
    <col min="2556" max="2556" width="7.28515625" style="9" bestFit="1" customWidth="1"/>
    <col min="2557" max="2557" width="8.140625" style="9" customWidth="1"/>
    <col min="2558" max="2558" width="7.140625" style="9" customWidth="1"/>
    <col min="2559" max="2559" width="7.7109375" style="9" bestFit="1" customWidth="1"/>
    <col min="2560" max="2560" width="7.28515625" style="9" customWidth="1"/>
    <col min="2561" max="2561" width="7" style="9" customWidth="1"/>
    <col min="2562" max="2562" width="7.5703125" style="9" customWidth="1"/>
    <col min="2563" max="2563" width="7.140625" style="9" customWidth="1"/>
    <col min="2564" max="2564" width="7" style="9" customWidth="1"/>
    <col min="2565" max="2565" width="7.5703125" style="9" customWidth="1"/>
    <col min="2566" max="2566" width="7.140625" style="9" customWidth="1"/>
    <col min="2567" max="2583" width="8.7109375" style="9" customWidth="1"/>
    <col min="2584" max="2584" width="36.85546875" style="9" customWidth="1"/>
    <col min="2585" max="2591" width="14.28515625" style="9" customWidth="1"/>
    <col min="2592" max="2806" width="9.140625" style="9"/>
    <col min="2807" max="2807" width="38.5703125" style="9" customWidth="1"/>
    <col min="2808" max="2808" width="6.5703125" style="9" customWidth="1"/>
    <col min="2809" max="2809" width="7.7109375" style="9" bestFit="1" customWidth="1"/>
    <col min="2810" max="2810" width="7.28515625" style="9" customWidth="1"/>
    <col min="2811" max="2811" width="6.5703125" style="9" bestFit="1" customWidth="1"/>
    <col min="2812" max="2812" width="7.28515625" style="9" bestFit="1" customWidth="1"/>
    <col min="2813" max="2813" width="8.140625" style="9" customWidth="1"/>
    <col min="2814" max="2814" width="7.140625" style="9" customWidth="1"/>
    <col min="2815" max="2815" width="7.7109375" style="9" bestFit="1" customWidth="1"/>
    <col min="2816" max="2816" width="7.28515625" style="9" customWidth="1"/>
    <col min="2817" max="2817" width="7" style="9" customWidth="1"/>
    <col min="2818" max="2818" width="7.5703125" style="9" customWidth="1"/>
    <col min="2819" max="2819" width="7.140625" style="9" customWidth="1"/>
    <col min="2820" max="2820" width="7" style="9" customWidth="1"/>
    <col min="2821" max="2821" width="7.5703125" style="9" customWidth="1"/>
    <col min="2822" max="2822" width="7.140625" style="9" customWidth="1"/>
    <col min="2823" max="2839" width="8.7109375" style="9" customWidth="1"/>
    <col min="2840" max="2840" width="36.85546875" style="9" customWidth="1"/>
    <col min="2841" max="2847" width="14.28515625" style="9" customWidth="1"/>
    <col min="2848" max="3062" width="9.140625" style="9"/>
    <col min="3063" max="3063" width="38.5703125" style="9" customWidth="1"/>
    <col min="3064" max="3064" width="6.5703125" style="9" customWidth="1"/>
    <col min="3065" max="3065" width="7.7109375" style="9" bestFit="1" customWidth="1"/>
    <col min="3066" max="3066" width="7.28515625" style="9" customWidth="1"/>
    <col min="3067" max="3067" width="6.5703125" style="9" bestFit="1" customWidth="1"/>
    <col min="3068" max="3068" width="7.28515625" style="9" bestFit="1" customWidth="1"/>
    <col min="3069" max="3069" width="8.140625" style="9" customWidth="1"/>
    <col min="3070" max="3070" width="7.140625" style="9" customWidth="1"/>
    <col min="3071" max="3071" width="7.7109375" style="9" bestFit="1" customWidth="1"/>
    <col min="3072" max="3072" width="7.28515625" style="9" customWidth="1"/>
    <col min="3073" max="3073" width="7" style="9" customWidth="1"/>
    <col min="3074" max="3074" width="7.5703125" style="9" customWidth="1"/>
    <col min="3075" max="3075" width="7.140625" style="9" customWidth="1"/>
    <col min="3076" max="3076" width="7" style="9" customWidth="1"/>
    <col min="3077" max="3077" width="7.5703125" style="9" customWidth="1"/>
    <col min="3078" max="3078" width="7.140625" style="9" customWidth="1"/>
    <col min="3079" max="3095" width="8.7109375" style="9" customWidth="1"/>
    <col min="3096" max="3096" width="36.85546875" style="9" customWidth="1"/>
    <col min="3097" max="3103" width="14.28515625" style="9" customWidth="1"/>
    <col min="3104" max="3318" width="9.140625" style="9"/>
    <col min="3319" max="3319" width="38.5703125" style="9" customWidth="1"/>
    <col min="3320" max="3320" width="6.5703125" style="9" customWidth="1"/>
    <col min="3321" max="3321" width="7.7109375" style="9" bestFit="1" customWidth="1"/>
    <col min="3322" max="3322" width="7.28515625" style="9" customWidth="1"/>
    <col min="3323" max="3323" width="6.5703125" style="9" bestFit="1" customWidth="1"/>
    <col min="3324" max="3324" width="7.28515625" style="9" bestFit="1" customWidth="1"/>
    <col min="3325" max="3325" width="8.140625" style="9" customWidth="1"/>
    <col min="3326" max="3326" width="7.140625" style="9" customWidth="1"/>
    <col min="3327" max="3327" width="7.7109375" style="9" bestFit="1" customWidth="1"/>
    <col min="3328" max="3328" width="7.28515625" style="9" customWidth="1"/>
    <col min="3329" max="3329" width="7" style="9" customWidth="1"/>
    <col min="3330" max="3330" width="7.5703125" style="9" customWidth="1"/>
    <col min="3331" max="3331" width="7.140625" style="9" customWidth="1"/>
    <col min="3332" max="3332" width="7" style="9" customWidth="1"/>
    <col min="3333" max="3333" width="7.5703125" style="9" customWidth="1"/>
    <col min="3334" max="3334" width="7.140625" style="9" customWidth="1"/>
    <col min="3335" max="3351" width="8.7109375" style="9" customWidth="1"/>
    <col min="3352" max="3352" width="36.85546875" style="9" customWidth="1"/>
    <col min="3353" max="3359" width="14.28515625" style="9" customWidth="1"/>
    <col min="3360" max="3574" width="9.140625" style="9"/>
    <col min="3575" max="3575" width="38.5703125" style="9" customWidth="1"/>
    <col min="3576" max="3576" width="6.5703125" style="9" customWidth="1"/>
    <col min="3577" max="3577" width="7.7109375" style="9" bestFit="1" customWidth="1"/>
    <col min="3578" max="3578" width="7.28515625" style="9" customWidth="1"/>
    <col min="3579" max="3579" width="6.5703125" style="9" bestFit="1" customWidth="1"/>
    <col min="3580" max="3580" width="7.28515625" style="9" bestFit="1" customWidth="1"/>
    <col min="3581" max="3581" width="8.140625" style="9" customWidth="1"/>
    <col min="3582" max="3582" width="7.140625" style="9" customWidth="1"/>
    <col min="3583" max="3583" width="7.7109375" style="9" bestFit="1" customWidth="1"/>
    <col min="3584" max="3584" width="7.28515625" style="9" customWidth="1"/>
    <col min="3585" max="3585" width="7" style="9" customWidth="1"/>
    <col min="3586" max="3586" width="7.5703125" style="9" customWidth="1"/>
    <col min="3587" max="3587" width="7.140625" style="9" customWidth="1"/>
    <col min="3588" max="3588" width="7" style="9" customWidth="1"/>
    <col min="3589" max="3589" width="7.5703125" style="9" customWidth="1"/>
    <col min="3590" max="3590" width="7.140625" style="9" customWidth="1"/>
    <col min="3591" max="3607" width="8.7109375" style="9" customWidth="1"/>
    <col min="3608" max="3608" width="36.85546875" style="9" customWidth="1"/>
    <col min="3609" max="3615" width="14.28515625" style="9" customWidth="1"/>
    <col min="3616" max="3830" width="9.140625" style="9"/>
    <col min="3831" max="3831" width="38.5703125" style="9" customWidth="1"/>
    <col min="3832" max="3832" width="6.5703125" style="9" customWidth="1"/>
    <col min="3833" max="3833" width="7.7109375" style="9" bestFit="1" customWidth="1"/>
    <col min="3834" max="3834" width="7.28515625" style="9" customWidth="1"/>
    <col min="3835" max="3835" width="6.5703125" style="9" bestFit="1" customWidth="1"/>
    <col min="3836" max="3836" width="7.28515625" style="9" bestFit="1" customWidth="1"/>
    <col min="3837" max="3837" width="8.140625" style="9" customWidth="1"/>
    <col min="3838" max="3838" width="7.140625" style="9" customWidth="1"/>
    <col min="3839" max="3839" width="7.7109375" style="9" bestFit="1" customWidth="1"/>
    <col min="3840" max="3840" width="7.28515625" style="9" customWidth="1"/>
    <col min="3841" max="3841" width="7" style="9" customWidth="1"/>
    <col min="3842" max="3842" width="7.5703125" style="9" customWidth="1"/>
    <col min="3843" max="3843" width="7.140625" style="9" customWidth="1"/>
    <col min="3844" max="3844" width="7" style="9" customWidth="1"/>
    <col min="3845" max="3845" width="7.5703125" style="9" customWidth="1"/>
    <col min="3846" max="3846" width="7.140625" style="9" customWidth="1"/>
    <col min="3847" max="3863" width="8.7109375" style="9" customWidth="1"/>
    <col min="3864" max="3864" width="36.85546875" style="9" customWidth="1"/>
    <col min="3865" max="3871" width="14.28515625" style="9" customWidth="1"/>
    <col min="3872" max="4086" width="9.140625" style="9"/>
    <col min="4087" max="4087" width="38.5703125" style="9" customWidth="1"/>
    <col min="4088" max="4088" width="6.5703125" style="9" customWidth="1"/>
    <col min="4089" max="4089" width="7.7109375" style="9" bestFit="1" customWidth="1"/>
    <col min="4090" max="4090" width="7.28515625" style="9" customWidth="1"/>
    <col min="4091" max="4091" width="6.5703125" style="9" bestFit="1" customWidth="1"/>
    <col min="4092" max="4092" width="7.28515625" style="9" bestFit="1" customWidth="1"/>
    <col min="4093" max="4093" width="8.140625" style="9" customWidth="1"/>
    <col min="4094" max="4094" width="7.140625" style="9" customWidth="1"/>
    <col min="4095" max="4095" width="7.7109375" style="9" bestFit="1" customWidth="1"/>
    <col min="4096" max="4096" width="7.28515625" style="9" customWidth="1"/>
    <col min="4097" max="4097" width="7" style="9" customWidth="1"/>
    <col min="4098" max="4098" width="7.5703125" style="9" customWidth="1"/>
    <col min="4099" max="4099" width="7.140625" style="9" customWidth="1"/>
    <col min="4100" max="4100" width="7" style="9" customWidth="1"/>
    <col min="4101" max="4101" width="7.5703125" style="9" customWidth="1"/>
    <col min="4102" max="4102" width="7.140625" style="9" customWidth="1"/>
    <col min="4103" max="4119" width="8.7109375" style="9" customWidth="1"/>
    <col min="4120" max="4120" width="36.85546875" style="9" customWidth="1"/>
    <col min="4121" max="4127" width="14.28515625" style="9" customWidth="1"/>
    <col min="4128" max="4342" width="9.140625" style="9"/>
    <col min="4343" max="4343" width="38.5703125" style="9" customWidth="1"/>
    <col min="4344" max="4344" width="6.5703125" style="9" customWidth="1"/>
    <col min="4345" max="4345" width="7.7109375" style="9" bestFit="1" customWidth="1"/>
    <col min="4346" max="4346" width="7.28515625" style="9" customWidth="1"/>
    <col min="4347" max="4347" width="6.5703125" style="9" bestFit="1" customWidth="1"/>
    <col min="4348" max="4348" width="7.28515625" style="9" bestFit="1" customWidth="1"/>
    <col min="4349" max="4349" width="8.140625" style="9" customWidth="1"/>
    <col min="4350" max="4350" width="7.140625" style="9" customWidth="1"/>
    <col min="4351" max="4351" width="7.7109375" style="9" bestFit="1" customWidth="1"/>
    <col min="4352" max="4352" width="7.28515625" style="9" customWidth="1"/>
    <col min="4353" max="4353" width="7" style="9" customWidth="1"/>
    <col min="4354" max="4354" width="7.5703125" style="9" customWidth="1"/>
    <col min="4355" max="4355" width="7.140625" style="9" customWidth="1"/>
    <col min="4356" max="4356" width="7" style="9" customWidth="1"/>
    <col min="4357" max="4357" width="7.5703125" style="9" customWidth="1"/>
    <col min="4358" max="4358" width="7.140625" style="9" customWidth="1"/>
    <col min="4359" max="4375" width="8.7109375" style="9" customWidth="1"/>
    <col min="4376" max="4376" width="36.85546875" style="9" customWidth="1"/>
    <col min="4377" max="4383" width="14.28515625" style="9" customWidth="1"/>
    <col min="4384" max="4598" width="9.140625" style="9"/>
    <col min="4599" max="4599" width="38.5703125" style="9" customWidth="1"/>
    <col min="4600" max="4600" width="6.5703125" style="9" customWidth="1"/>
    <col min="4601" max="4601" width="7.7109375" style="9" bestFit="1" customWidth="1"/>
    <col min="4602" max="4602" width="7.28515625" style="9" customWidth="1"/>
    <col min="4603" max="4603" width="6.5703125" style="9" bestFit="1" customWidth="1"/>
    <col min="4604" max="4604" width="7.28515625" style="9" bestFit="1" customWidth="1"/>
    <col min="4605" max="4605" width="8.140625" style="9" customWidth="1"/>
    <col min="4606" max="4606" width="7.140625" style="9" customWidth="1"/>
    <col min="4607" max="4607" width="7.7109375" style="9" bestFit="1" customWidth="1"/>
    <col min="4608" max="4608" width="7.28515625" style="9" customWidth="1"/>
    <col min="4609" max="4609" width="7" style="9" customWidth="1"/>
    <col min="4610" max="4610" width="7.5703125" style="9" customWidth="1"/>
    <col min="4611" max="4611" width="7.140625" style="9" customWidth="1"/>
    <col min="4612" max="4612" width="7" style="9" customWidth="1"/>
    <col min="4613" max="4613" width="7.5703125" style="9" customWidth="1"/>
    <col min="4614" max="4614" width="7.140625" style="9" customWidth="1"/>
    <col min="4615" max="4631" width="8.7109375" style="9" customWidth="1"/>
    <col min="4632" max="4632" width="36.85546875" style="9" customWidth="1"/>
    <col min="4633" max="4639" width="14.28515625" style="9" customWidth="1"/>
    <col min="4640" max="4854" width="9.140625" style="9"/>
    <col min="4855" max="4855" width="38.5703125" style="9" customWidth="1"/>
    <col min="4856" max="4856" width="6.5703125" style="9" customWidth="1"/>
    <col min="4857" max="4857" width="7.7109375" style="9" bestFit="1" customWidth="1"/>
    <col min="4858" max="4858" width="7.28515625" style="9" customWidth="1"/>
    <col min="4859" max="4859" width="6.5703125" style="9" bestFit="1" customWidth="1"/>
    <col min="4860" max="4860" width="7.28515625" style="9" bestFit="1" customWidth="1"/>
    <col min="4861" max="4861" width="8.140625" style="9" customWidth="1"/>
    <col min="4862" max="4862" width="7.140625" style="9" customWidth="1"/>
    <col min="4863" max="4863" width="7.7109375" style="9" bestFit="1" customWidth="1"/>
    <col min="4864" max="4864" width="7.28515625" style="9" customWidth="1"/>
    <col min="4865" max="4865" width="7" style="9" customWidth="1"/>
    <col min="4866" max="4866" width="7.5703125" style="9" customWidth="1"/>
    <col min="4867" max="4867" width="7.140625" style="9" customWidth="1"/>
    <col min="4868" max="4868" width="7" style="9" customWidth="1"/>
    <col min="4869" max="4869" width="7.5703125" style="9" customWidth="1"/>
    <col min="4870" max="4870" width="7.140625" style="9" customWidth="1"/>
    <col min="4871" max="4887" width="8.7109375" style="9" customWidth="1"/>
    <col min="4888" max="4888" width="36.85546875" style="9" customWidth="1"/>
    <col min="4889" max="4895" width="14.28515625" style="9" customWidth="1"/>
    <col min="4896" max="5110" width="9.140625" style="9"/>
    <col min="5111" max="5111" width="38.5703125" style="9" customWidth="1"/>
    <col min="5112" max="5112" width="6.5703125" style="9" customWidth="1"/>
    <col min="5113" max="5113" width="7.7109375" style="9" bestFit="1" customWidth="1"/>
    <col min="5114" max="5114" width="7.28515625" style="9" customWidth="1"/>
    <col min="5115" max="5115" width="6.5703125" style="9" bestFit="1" customWidth="1"/>
    <col min="5116" max="5116" width="7.28515625" style="9" bestFit="1" customWidth="1"/>
    <col min="5117" max="5117" width="8.140625" style="9" customWidth="1"/>
    <col min="5118" max="5118" width="7.140625" style="9" customWidth="1"/>
    <col min="5119" max="5119" width="7.7109375" style="9" bestFit="1" customWidth="1"/>
    <col min="5120" max="5120" width="7.28515625" style="9" customWidth="1"/>
    <col min="5121" max="5121" width="7" style="9" customWidth="1"/>
    <col min="5122" max="5122" width="7.5703125" style="9" customWidth="1"/>
    <col min="5123" max="5123" width="7.140625" style="9" customWidth="1"/>
    <col min="5124" max="5124" width="7" style="9" customWidth="1"/>
    <col min="5125" max="5125" width="7.5703125" style="9" customWidth="1"/>
    <col min="5126" max="5126" width="7.140625" style="9" customWidth="1"/>
    <col min="5127" max="5143" width="8.7109375" style="9" customWidth="1"/>
    <col min="5144" max="5144" width="36.85546875" style="9" customWidth="1"/>
    <col min="5145" max="5151" width="14.28515625" style="9" customWidth="1"/>
    <col min="5152" max="5366" width="9.140625" style="9"/>
    <col min="5367" max="5367" width="38.5703125" style="9" customWidth="1"/>
    <col min="5368" max="5368" width="6.5703125" style="9" customWidth="1"/>
    <col min="5369" max="5369" width="7.7109375" style="9" bestFit="1" customWidth="1"/>
    <col min="5370" max="5370" width="7.28515625" style="9" customWidth="1"/>
    <col min="5371" max="5371" width="6.5703125" style="9" bestFit="1" customWidth="1"/>
    <col min="5372" max="5372" width="7.28515625" style="9" bestFit="1" customWidth="1"/>
    <col min="5373" max="5373" width="8.140625" style="9" customWidth="1"/>
    <col min="5374" max="5374" width="7.140625" style="9" customWidth="1"/>
    <col min="5375" max="5375" width="7.7109375" style="9" bestFit="1" customWidth="1"/>
    <col min="5376" max="5376" width="7.28515625" style="9" customWidth="1"/>
    <col min="5377" max="5377" width="7" style="9" customWidth="1"/>
    <col min="5378" max="5378" width="7.5703125" style="9" customWidth="1"/>
    <col min="5379" max="5379" width="7.140625" style="9" customWidth="1"/>
    <col min="5380" max="5380" width="7" style="9" customWidth="1"/>
    <col min="5381" max="5381" width="7.5703125" style="9" customWidth="1"/>
    <col min="5382" max="5382" width="7.140625" style="9" customWidth="1"/>
    <col min="5383" max="5399" width="8.7109375" style="9" customWidth="1"/>
    <col min="5400" max="5400" width="36.85546875" style="9" customWidth="1"/>
    <col min="5401" max="5407" width="14.28515625" style="9" customWidth="1"/>
    <col min="5408" max="5622" width="9.140625" style="9"/>
    <col min="5623" max="5623" width="38.5703125" style="9" customWidth="1"/>
    <col min="5624" max="5624" width="6.5703125" style="9" customWidth="1"/>
    <col min="5625" max="5625" width="7.7109375" style="9" bestFit="1" customWidth="1"/>
    <col min="5626" max="5626" width="7.28515625" style="9" customWidth="1"/>
    <col min="5627" max="5627" width="6.5703125" style="9" bestFit="1" customWidth="1"/>
    <col min="5628" max="5628" width="7.28515625" style="9" bestFit="1" customWidth="1"/>
    <col min="5629" max="5629" width="8.140625" style="9" customWidth="1"/>
    <col min="5630" max="5630" width="7.140625" style="9" customWidth="1"/>
    <col min="5631" max="5631" width="7.7109375" style="9" bestFit="1" customWidth="1"/>
    <col min="5632" max="5632" width="7.28515625" style="9" customWidth="1"/>
    <col min="5633" max="5633" width="7" style="9" customWidth="1"/>
    <col min="5634" max="5634" width="7.5703125" style="9" customWidth="1"/>
    <col min="5635" max="5635" width="7.140625" style="9" customWidth="1"/>
    <col min="5636" max="5636" width="7" style="9" customWidth="1"/>
    <col min="5637" max="5637" width="7.5703125" style="9" customWidth="1"/>
    <col min="5638" max="5638" width="7.140625" style="9" customWidth="1"/>
    <col min="5639" max="5655" width="8.7109375" style="9" customWidth="1"/>
    <col min="5656" max="5656" width="36.85546875" style="9" customWidth="1"/>
    <col min="5657" max="5663" width="14.28515625" style="9" customWidth="1"/>
    <col min="5664" max="5878" width="9.140625" style="9"/>
    <col min="5879" max="5879" width="38.5703125" style="9" customWidth="1"/>
    <col min="5880" max="5880" width="6.5703125" style="9" customWidth="1"/>
    <col min="5881" max="5881" width="7.7109375" style="9" bestFit="1" customWidth="1"/>
    <col min="5882" max="5882" width="7.28515625" style="9" customWidth="1"/>
    <col min="5883" max="5883" width="6.5703125" style="9" bestFit="1" customWidth="1"/>
    <col min="5884" max="5884" width="7.28515625" style="9" bestFit="1" customWidth="1"/>
    <col min="5885" max="5885" width="8.140625" style="9" customWidth="1"/>
    <col min="5886" max="5886" width="7.140625" style="9" customWidth="1"/>
    <col min="5887" max="5887" width="7.7109375" style="9" bestFit="1" customWidth="1"/>
    <col min="5888" max="5888" width="7.28515625" style="9" customWidth="1"/>
    <col min="5889" max="5889" width="7" style="9" customWidth="1"/>
    <col min="5890" max="5890" width="7.5703125" style="9" customWidth="1"/>
    <col min="5891" max="5891" width="7.140625" style="9" customWidth="1"/>
    <col min="5892" max="5892" width="7" style="9" customWidth="1"/>
    <col min="5893" max="5893" width="7.5703125" style="9" customWidth="1"/>
    <col min="5894" max="5894" width="7.140625" style="9" customWidth="1"/>
    <col min="5895" max="5911" width="8.7109375" style="9" customWidth="1"/>
    <col min="5912" max="5912" width="36.85546875" style="9" customWidth="1"/>
    <col min="5913" max="5919" width="14.28515625" style="9" customWidth="1"/>
    <col min="5920" max="6134" width="9.140625" style="9"/>
    <col min="6135" max="6135" width="38.5703125" style="9" customWidth="1"/>
    <col min="6136" max="6136" width="6.5703125" style="9" customWidth="1"/>
    <col min="6137" max="6137" width="7.7109375" style="9" bestFit="1" customWidth="1"/>
    <col min="6138" max="6138" width="7.28515625" style="9" customWidth="1"/>
    <col min="6139" max="6139" width="6.5703125" style="9" bestFit="1" customWidth="1"/>
    <col min="6140" max="6140" width="7.28515625" style="9" bestFit="1" customWidth="1"/>
    <col min="6141" max="6141" width="8.140625" style="9" customWidth="1"/>
    <col min="6142" max="6142" width="7.140625" style="9" customWidth="1"/>
    <col min="6143" max="6143" width="7.7109375" style="9" bestFit="1" customWidth="1"/>
    <col min="6144" max="6144" width="7.28515625" style="9" customWidth="1"/>
    <col min="6145" max="6145" width="7" style="9" customWidth="1"/>
    <col min="6146" max="6146" width="7.5703125" style="9" customWidth="1"/>
    <col min="6147" max="6147" width="7.140625" style="9" customWidth="1"/>
    <col min="6148" max="6148" width="7" style="9" customWidth="1"/>
    <col min="6149" max="6149" width="7.5703125" style="9" customWidth="1"/>
    <col min="6150" max="6150" width="7.140625" style="9" customWidth="1"/>
    <col min="6151" max="6167" width="8.7109375" style="9" customWidth="1"/>
    <col min="6168" max="6168" width="36.85546875" style="9" customWidth="1"/>
    <col min="6169" max="6175" width="14.28515625" style="9" customWidth="1"/>
    <col min="6176" max="6390" width="9.140625" style="9"/>
    <col min="6391" max="6391" width="38.5703125" style="9" customWidth="1"/>
    <col min="6392" max="6392" width="6.5703125" style="9" customWidth="1"/>
    <col min="6393" max="6393" width="7.7109375" style="9" bestFit="1" customWidth="1"/>
    <col min="6394" max="6394" width="7.28515625" style="9" customWidth="1"/>
    <col min="6395" max="6395" width="6.5703125" style="9" bestFit="1" customWidth="1"/>
    <col min="6396" max="6396" width="7.28515625" style="9" bestFit="1" customWidth="1"/>
    <col min="6397" max="6397" width="8.140625" style="9" customWidth="1"/>
    <col min="6398" max="6398" width="7.140625" style="9" customWidth="1"/>
    <col min="6399" max="6399" width="7.7109375" style="9" bestFit="1" customWidth="1"/>
    <col min="6400" max="6400" width="7.28515625" style="9" customWidth="1"/>
    <col min="6401" max="6401" width="7" style="9" customWidth="1"/>
    <col min="6402" max="6402" width="7.5703125" style="9" customWidth="1"/>
    <col min="6403" max="6403" width="7.140625" style="9" customWidth="1"/>
    <col min="6404" max="6404" width="7" style="9" customWidth="1"/>
    <col min="6405" max="6405" width="7.5703125" style="9" customWidth="1"/>
    <col min="6406" max="6406" width="7.140625" style="9" customWidth="1"/>
    <col min="6407" max="6423" width="8.7109375" style="9" customWidth="1"/>
    <col min="6424" max="6424" width="36.85546875" style="9" customWidth="1"/>
    <col min="6425" max="6431" width="14.28515625" style="9" customWidth="1"/>
    <col min="6432" max="6646" width="9.140625" style="9"/>
    <col min="6647" max="6647" width="38.5703125" style="9" customWidth="1"/>
    <col min="6648" max="6648" width="6.5703125" style="9" customWidth="1"/>
    <col min="6649" max="6649" width="7.7109375" style="9" bestFit="1" customWidth="1"/>
    <col min="6650" max="6650" width="7.28515625" style="9" customWidth="1"/>
    <col min="6651" max="6651" width="6.5703125" style="9" bestFit="1" customWidth="1"/>
    <col min="6652" max="6652" width="7.28515625" style="9" bestFit="1" customWidth="1"/>
    <col min="6653" max="6653" width="8.140625" style="9" customWidth="1"/>
    <col min="6654" max="6654" width="7.140625" style="9" customWidth="1"/>
    <col min="6655" max="6655" width="7.7109375" style="9" bestFit="1" customWidth="1"/>
    <col min="6656" max="6656" width="7.28515625" style="9" customWidth="1"/>
    <col min="6657" max="6657" width="7" style="9" customWidth="1"/>
    <col min="6658" max="6658" width="7.5703125" style="9" customWidth="1"/>
    <col min="6659" max="6659" width="7.140625" style="9" customWidth="1"/>
    <col min="6660" max="6660" width="7" style="9" customWidth="1"/>
    <col min="6661" max="6661" width="7.5703125" style="9" customWidth="1"/>
    <col min="6662" max="6662" width="7.140625" style="9" customWidth="1"/>
    <col min="6663" max="6679" width="8.7109375" style="9" customWidth="1"/>
    <col min="6680" max="6680" width="36.85546875" style="9" customWidth="1"/>
    <col min="6681" max="6687" width="14.28515625" style="9" customWidth="1"/>
    <col min="6688" max="6902" width="9.140625" style="9"/>
    <col min="6903" max="6903" width="38.5703125" style="9" customWidth="1"/>
    <col min="6904" max="6904" width="6.5703125" style="9" customWidth="1"/>
    <col min="6905" max="6905" width="7.7109375" style="9" bestFit="1" customWidth="1"/>
    <col min="6906" max="6906" width="7.28515625" style="9" customWidth="1"/>
    <col min="6907" max="6907" width="6.5703125" style="9" bestFit="1" customWidth="1"/>
    <col min="6908" max="6908" width="7.28515625" style="9" bestFit="1" customWidth="1"/>
    <col min="6909" max="6909" width="8.140625" style="9" customWidth="1"/>
    <col min="6910" max="6910" width="7.140625" style="9" customWidth="1"/>
    <col min="6911" max="6911" width="7.7109375" style="9" bestFit="1" customWidth="1"/>
    <col min="6912" max="6912" width="7.28515625" style="9" customWidth="1"/>
    <col min="6913" max="6913" width="7" style="9" customWidth="1"/>
    <col min="6914" max="6914" width="7.5703125" style="9" customWidth="1"/>
    <col min="6915" max="6915" width="7.140625" style="9" customWidth="1"/>
    <col min="6916" max="6916" width="7" style="9" customWidth="1"/>
    <col min="6917" max="6917" width="7.5703125" style="9" customWidth="1"/>
    <col min="6918" max="6918" width="7.140625" style="9" customWidth="1"/>
    <col min="6919" max="6935" width="8.7109375" style="9" customWidth="1"/>
    <col min="6936" max="6936" width="36.85546875" style="9" customWidth="1"/>
    <col min="6937" max="6943" width="14.28515625" style="9" customWidth="1"/>
    <col min="6944" max="7158" width="9.140625" style="9"/>
    <col min="7159" max="7159" width="38.5703125" style="9" customWidth="1"/>
    <col min="7160" max="7160" width="6.5703125" style="9" customWidth="1"/>
    <col min="7161" max="7161" width="7.7109375" style="9" bestFit="1" customWidth="1"/>
    <col min="7162" max="7162" width="7.28515625" style="9" customWidth="1"/>
    <col min="7163" max="7163" width="6.5703125" style="9" bestFit="1" customWidth="1"/>
    <col min="7164" max="7164" width="7.28515625" style="9" bestFit="1" customWidth="1"/>
    <col min="7165" max="7165" width="8.140625" style="9" customWidth="1"/>
    <col min="7166" max="7166" width="7.140625" style="9" customWidth="1"/>
    <col min="7167" max="7167" width="7.7109375" style="9" bestFit="1" customWidth="1"/>
    <col min="7168" max="7168" width="7.28515625" style="9" customWidth="1"/>
    <col min="7169" max="7169" width="7" style="9" customWidth="1"/>
    <col min="7170" max="7170" width="7.5703125" style="9" customWidth="1"/>
    <col min="7171" max="7171" width="7.140625" style="9" customWidth="1"/>
    <col min="7172" max="7172" width="7" style="9" customWidth="1"/>
    <col min="7173" max="7173" width="7.5703125" style="9" customWidth="1"/>
    <col min="7174" max="7174" width="7.140625" style="9" customWidth="1"/>
    <col min="7175" max="7191" width="8.7109375" style="9" customWidth="1"/>
    <col min="7192" max="7192" width="36.85546875" style="9" customWidth="1"/>
    <col min="7193" max="7199" width="14.28515625" style="9" customWidth="1"/>
    <col min="7200" max="7414" width="9.140625" style="9"/>
    <col min="7415" max="7415" width="38.5703125" style="9" customWidth="1"/>
    <col min="7416" max="7416" width="6.5703125" style="9" customWidth="1"/>
    <col min="7417" max="7417" width="7.7109375" style="9" bestFit="1" customWidth="1"/>
    <col min="7418" max="7418" width="7.28515625" style="9" customWidth="1"/>
    <col min="7419" max="7419" width="6.5703125" style="9" bestFit="1" customWidth="1"/>
    <col min="7420" max="7420" width="7.28515625" style="9" bestFit="1" customWidth="1"/>
    <col min="7421" max="7421" width="8.140625" style="9" customWidth="1"/>
    <col min="7422" max="7422" width="7.140625" style="9" customWidth="1"/>
    <col min="7423" max="7423" width="7.7109375" style="9" bestFit="1" customWidth="1"/>
    <col min="7424" max="7424" width="7.28515625" style="9" customWidth="1"/>
    <col min="7425" max="7425" width="7" style="9" customWidth="1"/>
    <col min="7426" max="7426" width="7.5703125" style="9" customWidth="1"/>
    <col min="7427" max="7427" width="7.140625" style="9" customWidth="1"/>
    <col min="7428" max="7428" width="7" style="9" customWidth="1"/>
    <col min="7429" max="7429" width="7.5703125" style="9" customWidth="1"/>
    <col min="7430" max="7430" width="7.140625" style="9" customWidth="1"/>
    <col min="7431" max="7447" width="8.7109375" style="9" customWidth="1"/>
    <col min="7448" max="7448" width="36.85546875" style="9" customWidth="1"/>
    <col min="7449" max="7455" width="14.28515625" style="9" customWidth="1"/>
    <col min="7456" max="7670" width="9.140625" style="9"/>
    <col min="7671" max="7671" width="38.5703125" style="9" customWidth="1"/>
    <col min="7672" max="7672" width="6.5703125" style="9" customWidth="1"/>
    <col min="7673" max="7673" width="7.7109375" style="9" bestFit="1" customWidth="1"/>
    <col min="7674" max="7674" width="7.28515625" style="9" customWidth="1"/>
    <col min="7675" max="7675" width="6.5703125" style="9" bestFit="1" customWidth="1"/>
    <col min="7676" max="7676" width="7.28515625" style="9" bestFit="1" customWidth="1"/>
    <col min="7677" max="7677" width="8.140625" style="9" customWidth="1"/>
    <col min="7678" max="7678" width="7.140625" style="9" customWidth="1"/>
    <col min="7679" max="7679" width="7.7109375" style="9" bestFit="1" customWidth="1"/>
    <col min="7680" max="7680" width="7.28515625" style="9" customWidth="1"/>
    <col min="7681" max="7681" width="7" style="9" customWidth="1"/>
    <col min="7682" max="7682" width="7.5703125" style="9" customWidth="1"/>
    <col min="7683" max="7683" width="7.140625" style="9" customWidth="1"/>
    <col min="7684" max="7684" width="7" style="9" customWidth="1"/>
    <col min="7685" max="7685" width="7.5703125" style="9" customWidth="1"/>
    <col min="7686" max="7686" width="7.140625" style="9" customWidth="1"/>
    <col min="7687" max="7703" width="8.7109375" style="9" customWidth="1"/>
    <col min="7704" max="7704" width="36.85546875" style="9" customWidth="1"/>
    <col min="7705" max="7711" width="14.28515625" style="9" customWidth="1"/>
    <col min="7712" max="7926" width="9.140625" style="9"/>
    <col min="7927" max="7927" width="38.5703125" style="9" customWidth="1"/>
    <col min="7928" max="7928" width="6.5703125" style="9" customWidth="1"/>
    <col min="7929" max="7929" width="7.7109375" style="9" bestFit="1" customWidth="1"/>
    <col min="7930" max="7930" width="7.28515625" style="9" customWidth="1"/>
    <col min="7931" max="7931" width="6.5703125" style="9" bestFit="1" customWidth="1"/>
    <col min="7932" max="7932" width="7.28515625" style="9" bestFit="1" customWidth="1"/>
    <col min="7933" max="7933" width="8.140625" style="9" customWidth="1"/>
    <col min="7934" max="7934" width="7.140625" style="9" customWidth="1"/>
    <col min="7935" max="7935" width="7.7109375" style="9" bestFit="1" customWidth="1"/>
    <col min="7936" max="7936" width="7.28515625" style="9" customWidth="1"/>
    <col min="7937" max="7937" width="7" style="9" customWidth="1"/>
    <col min="7938" max="7938" width="7.5703125" style="9" customWidth="1"/>
    <col min="7939" max="7939" width="7.140625" style="9" customWidth="1"/>
    <col min="7940" max="7940" width="7" style="9" customWidth="1"/>
    <col min="7941" max="7941" width="7.5703125" style="9" customWidth="1"/>
    <col min="7942" max="7942" width="7.140625" style="9" customWidth="1"/>
    <col min="7943" max="7959" width="8.7109375" style="9" customWidth="1"/>
    <col min="7960" max="7960" width="36.85546875" style="9" customWidth="1"/>
    <col min="7961" max="7967" width="14.28515625" style="9" customWidth="1"/>
    <col min="7968" max="8182" width="9.140625" style="9"/>
    <col min="8183" max="8183" width="38.5703125" style="9" customWidth="1"/>
    <col min="8184" max="8184" width="6.5703125" style="9" customWidth="1"/>
    <col min="8185" max="8185" width="7.7109375" style="9" bestFit="1" customWidth="1"/>
    <col min="8186" max="8186" width="7.28515625" style="9" customWidth="1"/>
    <col min="8187" max="8187" width="6.5703125" style="9" bestFit="1" customWidth="1"/>
    <col min="8188" max="8188" width="7.28515625" style="9" bestFit="1" customWidth="1"/>
    <col min="8189" max="8189" width="8.140625" style="9" customWidth="1"/>
    <col min="8190" max="8190" width="7.140625" style="9" customWidth="1"/>
    <col min="8191" max="8191" width="7.7109375" style="9" bestFit="1" customWidth="1"/>
    <col min="8192" max="8192" width="7.28515625" style="9" customWidth="1"/>
    <col min="8193" max="8193" width="7" style="9" customWidth="1"/>
    <col min="8194" max="8194" width="7.5703125" style="9" customWidth="1"/>
    <col min="8195" max="8195" width="7.140625" style="9" customWidth="1"/>
    <col min="8196" max="8196" width="7" style="9" customWidth="1"/>
    <col min="8197" max="8197" width="7.5703125" style="9" customWidth="1"/>
    <col min="8198" max="8198" width="7.140625" style="9" customWidth="1"/>
    <col min="8199" max="8215" width="8.7109375" style="9" customWidth="1"/>
    <col min="8216" max="8216" width="36.85546875" style="9" customWidth="1"/>
    <col min="8217" max="8223" width="14.28515625" style="9" customWidth="1"/>
    <col min="8224" max="8438" width="9.140625" style="9"/>
    <col min="8439" max="8439" width="38.5703125" style="9" customWidth="1"/>
    <col min="8440" max="8440" width="6.5703125" style="9" customWidth="1"/>
    <col min="8441" max="8441" width="7.7109375" style="9" bestFit="1" customWidth="1"/>
    <col min="8442" max="8442" width="7.28515625" style="9" customWidth="1"/>
    <col min="8443" max="8443" width="6.5703125" style="9" bestFit="1" customWidth="1"/>
    <col min="8444" max="8444" width="7.28515625" style="9" bestFit="1" customWidth="1"/>
    <col min="8445" max="8445" width="8.140625" style="9" customWidth="1"/>
    <col min="8446" max="8446" width="7.140625" style="9" customWidth="1"/>
    <col min="8447" max="8447" width="7.7109375" style="9" bestFit="1" customWidth="1"/>
    <col min="8448" max="8448" width="7.28515625" style="9" customWidth="1"/>
    <col min="8449" max="8449" width="7" style="9" customWidth="1"/>
    <col min="8450" max="8450" width="7.5703125" style="9" customWidth="1"/>
    <col min="8451" max="8451" width="7.140625" style="9" customWidth="1"/>
    <col min="8452" max="8452" width="7" style="9" customWidth="1"/>
    <col min="8453" max="8453" width="7.5703125" style="9" customWidth="1"/>
    <col min="8454" max="8454" width="7.140625" style="9" customWidth="1"/>
    <col min="8455" max="8471" width="8.7109375" style="9" customWidth="1"/>
    <col min="8472" max="8472" width="36.85546875" style="9" customWidth="1"/>
    <col min="8473" max="8479" width="14.28515625" style="9" customWidth="1"/>
    <col min="8480" max="8694" width="9.140625" style="9"/>
    <col min="8695" max="8695" width="38.5703125" style="9" customWidth="1"/>
    <col min="8696" max="8696" width="6.5703125" style="9" customWidth="1"/>
    <col min="8697" max="8697" width="7.7109375" style="9" bestFit="1" customWidth="1"/>
    <col min="8698" max="8698" width="7.28515625" style="9" customWidth="1"/>
    <col min="8699" max="8699" width="6.5703125" style="9" bestFit="1" customWidth="1"/>
    <col min="8700" max="8700" width="7.28515625" style="9" bestFit="1" customWidth="1"/>
    <col min="8701" max="8701" width="8.140625" style="9" customWidth="1"/>
    <col min="8702" max="8702" width="7.140625" style="9" customWidth="1"/>
    <col min="8703" max="8703" width="7.7109375" style="9" bestFit="1" customWidth="1"/>
    <col min="8704" max="8704" width="7.28515625" style="9" customWidth="1"/>
    <col min="8705" max="8705" width="7" style="9" customWidth="1"/>
    <col min="8706" max="8706" width="7.5703125" style="9" customWidth="1"/>
    <col min="8707" max="8707" width="7.140625" style="9" customWidth="1"/>
    <col min="8708" max="8708" width="7" style="9" customWidth="1"/>
    <col min="8709" max="8709" width="7.5703125" style="9" customWidth="1"/>
    <col min="8710" max="8710" width="7.140625" style="9" customWidth="1"/>
    <col min="8711" max="8727" width="8.7109375" style="9" customWidth="1"/>
    <col min="8728" max="8728" width="36.85546875" style="9" customWidth="1"/>
    <col min="8729" max="8735" width="14.28515625" style="9" customWidth="1"/>
    <col min="8736" max="8950" width="9.140625" style="9"/>
    <col min="8951" max="8951" width="38.5703125" style="9" customWidth="1"/>
    <col min="8952" max="8952" width="6.5703125" style="9" customWidth="1"/>
    <col min="8953" max="8953" width="7.7109375" style="9" bestFit="1" customWidth="1"/>
    <col min="8954" max="8954" width="7.28515625" style="9" customWidth="1"/>
    <col min="8955" max="8955" width="6.5703125" style="9" bestFit="1" customWidth="1"/>
    <col min="8956" max="8956" width="7.28515625" style="9" bestFit="1" customWidth="1"/>
    <col min="8957" max="8957" width="8.140625" style="9" customWidth="1"/>
    <col min="8958" max="8958" width="7.140625" style="9" customWidth="1"/>
    <col min="8959" max="8959" width="7.7109375" style="9" bestFit="1" customWidth="1"/>
    <col min="8960" max="8960" width="7.28515625" style="9" customWidth="1"/>
    <col min="8961" max="8961" width="7" style="9" customWidth="1"/>
    <col min="8962" max="8962" width="7.5703125" style="9" customWidth="1"/>
    <col min="8963" max="8963" width="7.140625" style="9" customWidth="1"/>
    <col min="8964" max="8964" width="7" style="9" customWidth="1"/>
    <col min="8965" max="8965" width="7.5703125" style="9" customWidth="1"/>
    <col min="8966" max="8966" width="7.140625" style="9" customWidth="1"/>
    <col min="8967" max="8983" width="8.7109375" style="9" customWidth="1"/>
    <col min="8984" max="8984" width="36.85546875" style="9" customWidth="1"/>
    <col min="8985" max="8991" width="14.28515625" style="9" customWidth="1"/>
    <col min="8992" max="9206" width="9.140625" style="9"/>
    <col min="9207" max="9207" width="38.5703125" style="9" customWidth="1"/>
    <col min="9208" max="9208" width="6.5703125" style="9" customWidth="1"/>
    <col min="9209" max="9209" width="7.7109375" style="9" bestFit="1" customWidth="1"/>
    <col min="9210" max="9210" width="7.28515625" style="9" customWidth="1"/>
    <col min="9211" max="9211" width="6.5703125" style="9" bestFit="1" customWidth="1"/>
    <col min="9212" max="9212" width="7.28515625" style="9" bestFit="1" customWidth="1"/>
    <col min="9213" max="9213" width="8.140625" style="9" customWidth="1"/>
    <col min="9214" max="9214" width="7.140625" style="9" customWidth="1"/>
    <col min="9215" max="9215" width="7.7109375" style="9" bestFit="1" customWidth="1"/>
    <col min="9216" max="9216" width="7.28515625" style="9" customWidth="1"/>
    <col min="9217" max="9217" width="7" style="9" customWidth="1"/>
    <col min="9218" max="9218" width="7.5703125" style="9" customWidth="1"/>
    <col min="9219" max="9219" width="7.140625" style="9" customWidth="1"/>
    <col min="9220" max="9220" width="7" style="9" customWidth="1"/>
    <col min="9221" max="9221" width="7.5703125" style="9" customWidth="1"/>
    <col min="9222" max="9222" width="7.140625" style="9" customWidth="1"/>
    <col min="9223" max="9239" width="8.7109375" style="9" customWidth="1"/>
    <col min="9240" max="9240" width="36.85546875" style="9" customWidth="1"/>
    <col min="9241" max="9247" width="14.28515625" style="9" customWidth="1"/>
    <col min="9248" max="9462" width="9.140625" style="9"/>
    <col min="9463" max="9463" width="38.5703125" style="9" customWidth="1"/>
    <col min="9464" max="9464" width="6.5703125" style="9" customWidth="1"/>
    <col min="9465" max="9465" width="7.7109375" style="9" bestFit="1" customWidth="1"/>
    <col min="9466" max="9466" width="7.28515625" style="9" customWidth="1"/>
    <col min="9467" max="9467" width="6.5703125" style="9" bestFit="1" customWidth="1"/>
    <col min="9468" max="9468" width="7.28515625" style="9" bestFit="1" customWidth="1"/>
    <col min="9469" max="9469" width="8.140625" style="9" customWidth="1"/>
    <col min="9470" max="9470" width="7.140625" style="9" customWidth="1"/>
    <col min="9471" max="9471" width="7.7109375" style="9" bestFit="1" customWidth="1"/>
    <col min="9472" max="9472" width="7.28515625" style="9" customWidth="1"/>
    <col min="9473" max="9473" width="7" style="9" customWidth="1"/>
    <col min="9474" max="9474" width="7.5703125" style="9" customWidth="1"/>
    <col min="9475" max="9475" width="7.140625" style="9" customWidth="1"/>
    <col min="9476" max="9476" width="7" style="9" customWidth="1"/>
    <col min="9477" max="9477" width="7.5703125" style="9" customWidth="1"/>
    <col min="9478" max="9478" width="7.140625" style="9" customWidth="1"/>
    <col min="9479" max="9495" width="8.7109375" style="9" customWidth="1"/>
    <col min="9496" max="9496" width="36.85546875" style="9" customWidth="1"/>
    <col min="9497" max="9503" width="14.28515625" style="9" customWidth="1"/>
    <col min="9504" max="9718" width="9.140625" style="9"/>
    <col min="9719" max="9719" width="38.5703125" style="9" customWidth="1"/>
    <col min="9720" max="9720" width="6.5703125" style="9" customWidth="1"/>
    <col min="9721" max="9721" width="7.7109375" style="9" bestFit="1" customWidth="1"/>
    <col min="9722" max="9722" width="7.28515625" style="9" customWidth="1"/>
    <col min="9723" max="9723" width="6.5703125" style="9" bestFit="1" customWidth="1"/>
    <col min="9724" max="9724" width="7.28515625" style="9" bestFit="1" customWidth="1"/>
    <col min="9725" max="9725" width="8.140625" style="9" customWidth="1"/>
    <col min="9726" max="9726" width="7.140625" style="9" customWidth="1"/>
    <col min="9727" max="9727" width="7.7109375" style="9" bestFit="1" customWidth="1"/>
    <col min="9728" max="9728" width="7.28515625" style="9" customWidth="1"/>
    <col min="9729" max="9729" width="7" style="9" customWidth="1"/>
    <col min="9730" max="9730" width="7.5703125" style="9" customWidth="1"/>
    <col min="9731" max="9731" width="7.140625" style="9" customWidth="1"/>
    <col min="9732" max="9732" width="7" style="9" customWidth="1"/>
    <col min="9733" max="9733" width="7.5703125" style="9" customWidth="1"/>
    <col min="9734" max="9734" width="7.140625" style="9" customWidth="1"/>
    <col min="9735" max="9751" width="8.7109375" style="9" customWidth="1"/>
    <col min="9752" max="9752" width="36.85546875" style="9" customWidth="1"/>
    <col min="9753" max="9759" width="14.28515625" style="9" customWidth="1"/>
    <col min="9760" max="9974" width="9.140625" style="9"/>
    <col min="9975" max="9975" width="38.5703125" style="9" customWidth="1"/>
    <col min="9976" max="9976" width="6.5703125" style="9" customWidth="1"/>
    <col min="9977" max="9977" width="7.7109375" style="9" bestFit="1" customWidth="1"/>
    <col min="9978" max="9978" width="7.28515625" style="9" customWidth="1"/>
    <col min="9979" max="9979" width="6.5703125" style="9" bestFit="1" customWidth="1"/>
    <col min="9980" max="9980" width="7.28515625" style="9" bestFit="1" customWidth="1"/>
    <col min="9981" max="9981" width="8.140625" style="9" customWidth="1"/>
    <col min="9982" max="9982" width="7.140625" style="9" customWidth="1"/>
    <col min="9983" max="9983" width="7.7109375" style="9" bestFit="1" customWidth="1"/>
    <col min="9984" max="9984" width="7.28515625" style="9" customWidth="1"/>
    <col min="9985" max="9985" width="7" style="9" customWidth="1"/>
    <col min="9986" max="9986" width="7.5703125" style="9" customWidth="1"/>
    <col min="9987" max="9987" width="7.140625" style="9" customWidth="1"/>
    <col min="9988" max="9988" width="7" style="9" customWidth="1"/>
    <col min="9989" max="9989" width="7.5703125" style="9" customWidth="1"/>
    <col min="9990" max="9990" width="7.140625" style="9" customWidth="1"/>
    <col min="9991" max="10007" width="8.7109375" style="9" customWidth="1"/>
    <col min="10008" max="10008" width="36.85546875" style="9" customWidth="1"/>
    <col min="10009" max="10015" width="14.28515625" style="9" customWidth="1"/>
    <col min="10016" max="10230" width="9.140625" style="9"/>
    <col min="10231" max="10231" width="38.5703125" style="9" customWidth="1"/>
    <col min="10232" max="10232" width="6.5703125" style="9" customWidth="1"/>
    <col min="10233" max="10233" width="7.7109375" style="9" bestFit="1" customWidth="1"/>
    <col min="10234" max="10234" width="7.28515625" style="9" customWidth="1"/>
    <col min="10235" max="10235" width="6.5703125" style="9" bestFit="1" customWidth="1"/>
    <col min="10236" max="10236" width="7.28515625" style="9" bestFit="1" customWidth="1"/>
    <col min="10237" max="10237" width="8.140625" style="9" customWidth="1"/>
    <col min="10238" max="10238" width="7.140625" style="9" customWidth="1"/>
    <col min="10239" max="10239" width="7.7109375" style="9" bestFit="1" customWidth="1"/>
    <col min="10240" max="10240" width="7.28515625" style="9" customWidth="1"/>
    <col min="10241" max="10241" width="7" style="9" customWidth="1"/>
    <col min="10242" max="10242" width="7.5703125" style="9" customWidth="1"/>
    <col min="10243" max="10243" width="7.140625" style="9" customWidth="1"/>
    <col min="10244" max="10244" width="7" style="9" customWidth="1"/>
    <col min="10245" max="10245" width="7.5703125" style="9" customWidth="1"/>
    <col min="10246" max="10246" width="7.140625" style="9" customWidth="1"/>
    <col min="10247" max="10263" width="8.7109375" style="9" customWidth="1"/>
    <col min="10264" max="10264" width="36.85546875" style="9" customWidth="1"/>
    <col min="10265" max="10271" width="14.28515625" style="9" customWidth="1"/>
    <col min="10272" max="10486" width="9.140625" style="9"/>
    <col min="10487" max="10487" width="38.5703125" style="9" customWidth="1"/>
    <col min="10488" max="10488" width="6.5703125" style="9" customWidth="1"/>
    <col min="10489" max="10489" width="7.7109375" style="9" bestFit="1" customWidth="1"/>
    <col min="10490" max="10490" width="7.28515625" style="9" customWidth="1"/>
    <col min="10491" max="10491" width="6.5703125" style="9" bestFit="1" customWidth="1"/>
    <col min="10492" max="10492" width="7.28515625" style="9" bestFit="1" customWidth="1"/>
    <col min="10493" max="10493" width="8.140625" style="9" customWidth="1"/>
    <col min="10494" max="10494" width="7.140625" style="9" customWidth="1"/>
    <col min="10495" max="10495" width="7.7109375" style="9" bestFit="1" customWidth="1"/>
    <col min="10496" max="10496" width="7.28515625" style="9" customWidth="1"/>
    <col min="10497" max="10497" width="7" style="9" customWidth="1"/>
    <col min="10498" max="10498" width="7.5703125" style="9" customWidth="1"/>
    <col min="10499" max="10499" width="7.140625" style="9" customWidth="1"/>
    <col min="10500" max="10500" width="7" style="9" customWidth="1"/>
    <col min="10501" max="10501" width="7.5703125" style="9" customWidth="1"/>
    <col min="10502" max="10502" width="7.140625" style="9" customWidth="1"/>
    <col min="10503" max="10519" width="8.7109375" style="9" customWidth="1"/>
    <col min="10520" max="10520" width="36.85546875" style="9" customWidth="1"/>
    <col min="10521" max="10527" width="14.28515625" style="9" customWidth="1"/>
    <col min="10528" max="10742" width="9.140625" style="9"/>
    <col min="10743" max="10743" width="38.5703125" style="9" customWidth="1"/>
    <col min="10744" max="10744" width="6.5703125" style="9" customWidth="1"/>
    <col min="10745" max="10745" width="7.7109375" style="9" bestFit="1" customWidth="1"/>
    <col min="10746" max="10746" width="7.28515625" style="9" customWidth="1"/>
    <col min="10747" max="10747" width="6.5703125" style="9" bestFit="1" customWidth="1"/>
    <col min="10748" max="10748" width="7.28515625" style="9" bestFit="1" customWidth="1"/>
    <col min="10749" max="10749" width="8.140625" style="9" customWidth="1"/>
    <col min="10750" max="10750" width="7.140625" style="9" customWidth="1"/>
    <col min="10751" max="10751" width="7.7109375" style="9" bestFit="1" customWidth="1"/>
    <col min="10752" max="10752" width="7.28515625" style="9" customWidth="1"/>
    <col min="10753" max="10753" width="7" style="9" customWidth="1"/>
    <col min="10754" max="10754" width="7.5703125" style="9" customWidth="1"/>
    <col min="10755" max="10755" width="7.140625" style="9" customWidth="1"/>
    <col min="10756" max="10756" width="7" style="9" customWidth="1"/>
    <col min="10757" max="10757" width="7.5703125" style="9" customWidth="1"/>
    <col min="10758" max="10758" width="7.140625" style="9" customWidth="1"/>
    <col min="10759" max="10775" width="8.7109375" style="9" customWidth="1"/>
    <col min="10776" max="10776" width="36.85546875" style="9" customWidth="1"/>
    <col min="10777" max="10783" width="14.28515625" style="9" customWidth="1"/>
    <col min="10784" max="10998" width="9.140625" style="9"/>
    <col min="10999" max="10999" width="38.5703125" style="9" customWidth="1"/>
    <col min="11000" max="11000" width="6.5703125" style="9" customWidth="1"/>
    <col min="11001" max="11001" width="7.7109375" style="9" bestFit="1" customWidth="1"/>
    <col min="11002" max="11002" width="7.28515625" style="9" customWidth="1"/>
    <col min="11003" max="11003" width="6.5703125" style="9" bestFit="1" customWidth="1"/>
    <col min="11004" max="11004" width="7.28515625" style="9" bestFit="1" customWidth="1"/>
    <col min="11005" max="11005" width="8.140625" style="9" customWidth="1"/>
    <col min="11006" max="11006" width="7.140625" style="9" customWidth="1"/>
    <col min="11007" max="11007" width="7.7109375" style="9" bestFit="1" customWidth="1"/>
    <col min="11008" max="11008" width="7.28515625" style="9" customWidth="1"/>
    <col min="11009" max="11009" width="7" style="9" customWidth="1"/>
    <col min="11010" max="11010" width="7.5703125" style="9" customWidth="1"/>
    <col min="11011" max="11011" width="7.140625" style="9" customWidth="1"/>
    <col min="11012" max="11012" width="7" style="9" customWidth="1"/>
    <col min="11013" max="11013" width="7.5703125" style="9" customWidth="1"/>
    <col min="11014" max="11014" width="7.140625" style="9" customWidth="1"/>
    <col min="11015" max="11031" width="8.7109375" style="9" customWidth="1"/>
    <col min="11032" max="11032" width="36.85546875" style="9" customWidth="1"/>
    <col min="11033" max="11039" width="14.28515625" style="9" customWidth="1"/>
    <col min="11040" max="11254" width="9.140625" style="9"/>
    <col min="11255" max="11255" width="38.5703125" style="9" customWidth="1"/>
    <col min="11256" max="11256" width="6.5703125" style="9" customWidth="1"/>
    <col min="11257" max="11257" width="7.7109375" style="9" bestFit="1" customWidth="1"/>
    <col min="11258" max="11258" width="7.28515625" style="9" customWidth="1"/>
    <col min="11259" max="11259" width="6.5703125" style="9" bestFit="1" customWidth="1"/>
    <col min="11260" max="11260" width="7.28515625" style="9" bestFit="1" customWidth="1"/>
    <col min="11261" max="11261" width="8.140625" style="9" customWidth="1"/>
    <col min="11262" max="11262" width="7.140625" style="9" customWidth="1"/>
    <col min="11263" max="11263" width="7.7109375" style="9" bestFit="1" customWidth="1"/>
    <col min="11264" max="11264" width="7.28515625" style="9" customWidth="1"/>
    <col min="11265" max="11265" width="7" style="9" customWidth="1"/>
    <col min="11266" max="11266" width="7.5703125" style="9" customWidth="1"/>
    <col min="11267" max="11267" width="7.140625" style="9" customWidth="1"/>
    <col min="11268" max="11268" width="7" style="9" customWidth="1"/>
    <col min="11269" max="11269" width="7.5703125" style="9" customWidth="1"/>
    <col min="11270" max="11270" width="7.140625" style="9" customWidth="1"/>
    <col min="11271" max="11287" width="8.7109375" style="9" customWidth="1"/>
    <col min="11288" max="11288" width="36.85546875" style="9" customWidth="1"/>
    <col min="11289" max="11295" width="14.28515625" style="9" customWidth="1"/>
    <col min="11296" max="11510" width="9.140625" style="9"/>
    <col min="11511" max="11511" width="38.5703125" style="9" customWidth="1"/>
    <col min="11512" max="11512" width="6.5703125" style="9" customWidth="1"/>
    <col min="11513" max="11513" width="7.7109375" style="9" bestFit="1" customWidth="1"/>
    <col min="11514" max="11514" width="7.28515625" style="9" customWidth="1"/>
    <col min="11515" max="11515" width="6.5703125" style="9" bestFit="1" customWidth="1"/>
    <col min="11516" max="11516" width="7.28515625" style="9" bestFit="1" customWidth="1"/>
    <col min="11517" max="11517" width="8.140625" style="9" customWidth="1"/>
    <col min="11518" max="11518" width="7.140625" style="9" customWidth="1"/>
    <col min="11519" max="11519" width="7.7109375" style="9" bestFit="1" customWidth="1"/>
    <col min="11520" max="11520" width="7.28515625" style="9" customWidth="1"/>
    <col min="11521" max="11521" width="7" style="9" customWidth="1"/>
    <col min="11522" max="11522" width="7.5703125" style="9" customWidth="1"/>
    <col min="11523" max="11523" width="7.140625" style="9" customWidth="1"/>
    <col min="11524" max="11524" width="7" style="9" customWidth="1"/>
    <col min="11525" max="11525" width="7.5703125" style="9" customWidth="1"/>
    <col min="11526" max="11526" width="7.140625" style="9" customWidth="1"/>
    <col min="11527" max="11543" width="8.7109375" style="9" customWidth="1"/>
    <col min="11544" max="11544" width="36.85546875" style="9" customWidth="1"/>
    <col min="11545" max="11551" width="14.28515625" style="9" customWidth="1"/>
    <col min="11552" max="11766" width="9.140625" style="9"/>
    <col min="11767" max="11767" width="38.5703125" style="9" customWidth="1"/>
    <col min="11768" max="11768" width="6.5703125" style="9" customWidth="1"/>
    <col min="11769" max="11769" width="7.7109375" style="9" bestFit="1" customWidth="1"/>
    <col min="11770" max="11770" width="7.28515625" style="9" customWidth="1"/>
    <col min="11771" max="11771" width="6.5703125" style="9" bestFit="1" customWidth="1"/>
    <col min="11772" max="11772" width="7.28515625" style="9" bestFit="1" customWidth="1"/>
    <col min="11773" max="11773" width="8.140625" style="9" customWidth="1"/>
    <col min="11774" max="11774" width="7.140625" style="9" customWidth="1"/>
    <col min="11775" max="11775" width="7.7109375" style="9" bestFit="1" customWidth="1"/>
    <col min="11776" max="11776" width="7.28515625" style="9" customWidth="1"/>
    <col min="11777" max="11777" width="7" style="9" customWidth="1"/>
    <col min="11778" max="11778" width="7.5703125" style="9" customWidth="1"/>
    <col min="11779" max="11779" width="7.140625" style="9" customWidth="1"/>
    <col min="11780" max="11780" width="7" style="9" customWidth="1"/>
    <col min="11781" max="11781" width="7.5703125" style="9" customWidth="1"/>
    <col min="11782" max="11782" width="7.140625" style="9" customWidth="1"/>
    <col min="11783" max="11799" width="8.7109375" style="9" customWidth="1"/>
    <col min="11800" max="11800" width="36.85546875" style="9" customWidth="1"/>
    <col min="11801" max="11807" width="14.28515625" style="9" customWidth="1"/>
    <col min="11808" max="12022" width="9.140625" style="9"/>
    <col min="12023" max="12023" width="38.5703125" style="9" customWidth="1"/>
    <col min="12024" max="12024" width="6.5703125" style="9" customWidth="1"/>
    <col min="12025" max="12025" width="7.7109375" style="9" bestFit="1" customWidth="1"/>
    <col min="12026" max="12026" width="7.28515625" style="9" customWidth="1"/>
    <col min="12027" max="12027" width="6.5703125" style="9" bestFit="1" customWidth="1"/>
    <col min="12028" max="12028" width="7.28515625" style="9" bestFit="1" customWidth="1"/>
    <col min="12029" max="12029" width="8.140625" style="9" customWidth="1"/>
    <col min="12030" max="12030" width="7.140625" style="9" customWidth="1"/>
    <col min="12031" max="12031" width="7.7109375" style="9" bestFit="1" customWidth="1"/>
    <col min="12032" max="12032" width="7.28515625" style="9" customWidth="1"/>
    <col min="12033" max="12033" width="7" style="9" customWidth="1"/>
    <col min="12034" max="12034" width="7.5703125" style="9" customWidth="1"/>
    <col min="12035" max="12035" width="7.140625" style="9" customWidth="1"/>
    <col min="12036" max="12036" width="7" style="9" customWidth="1"/>
    <col min="12037" max="12037" width="7.5703125" style="9" customWidth="1"/>
    <col min="12038" max="12038" width="7.140625" style="9" customWidth="1"/>
    <col min="12039" max="12055" width="8.7109375" style="9" customWidth="1"/>
    <col min="12056" max="12056" width="36.85546875" style="9" customWidth="1"/>
    <col min="12057" max="12063" width="14.28515625" style="9" customWidth="1"/>
    <col min="12064" max="12278" width="9.140625" style="9"/>
    <col min="12279" max="12279" width="38.5703125" style="9" customWidth="1"/>
    <col min="12280" max="12280" width="6.5703125" style="9" customWidth="1"/>
    <col min="12281" max="12281" width="7.7109375" style="9" bestFit="1" customWidth="1"/>
    <col min="12282" max="12282" width="7.28515625" style="9" customWidth="1"/>
    <col min="12283" max="12283" width="6.5703125" style="9" bestFit="1" customWidth="1"/>
    <col min="12284" max="12284" width="7.28515625" style="9" bestFit="1" customWidth="1"/>
    <col min="12285" max="12285" width="8.140625" style="9" customWidth="1"/>
    <col min="12286" max="12286" width="7.140625" style="9" customWidth="1"/>
    <col min="12287" max="12287" width="7.7109375" style="9" bestFit="1" customWidth="1"/>
    <col min="12288" max="12288" width="7.28515625" style="9" customWidth="1"/>
    <col min="12289" max="12289" width="7" style="9" customWidth="1"/>
    <col min="12290" max="12290" width="7.5703125" style="9" customWidth="1"/>
    <col min="12291" max="12291" width="7.140625" style="9" customWidth="1"/>
    <col min="12292" max="12292" width="7" style="9" customWidth="1"/>
    <col min="12293" max="12293" width="7.5703125" style="9" customWidth="1"/>
    <col min="12294" max="12294" width="7.140625" style="9" customWidth="1"/>
    <col min="12295" max="12311" width="8.7109375" style="9" customWidth="1"/>
    <col min="12312" max="12312" width="36.85546875" style="9" customWidth="1"/>
    <col min="12313" max="12319" width="14.28515625" style="9" customWidth="1"/>
    <col min="12320" max="12534" width="9.140625" style="9"/>
    <col min="12535" max="12535" width="38.5703125" style="9" customWidth="1"/>
    <col min="12536" max="12536" width="6.5703125" style="9" customWidth="1"/>
    <col min="12537" max="12537" width="7.7109375" style="9" bestFit="1" customWidth="1"/>
    <col min="12538" max="12538" width="7.28515625" style="9" customWidth="1"/>
    <col min="12539" max="12539" width="6.5703125" style="9" bestFit="1" customWidth="1"/>
    <col min="12540" max="12540" width="7.28515625" style="9" bestFit="1" customWidth="1"/>
    <col min="12541" max="12541" width="8.140625" style="9" customWidth="1"/>
    <col min="12542" max="12542" width="7.140625" style="9" customWidth="1"/>
    <col min="12543" max="12543" width="7.7109375" style="9" bestFit="1" customWidth="1"/>
    <col min="12544" max="12544" width="7.28515625" style="9" customWidth="1"/>
    <col min="12545" max="12545" width="7" style="9" customWidth="1"/>
    <col min="12546" max="12546" width="7.5703125" style="9" customWidth="1"/>
    <col min="12547" max="12547" width="7.140625" style="9" customWidth="1"/>
    <col min="12548" max="12548" width="7" style="9" customWidth="1"/>
    <col min="12549" max="12549" width="7.5703125" style="9" customWidth="1"/>
    <col min="12550" max="12550" width="7.140625" style="9" customWidth="1"/>
    <col min="12551" max="12567" width="8.7109375" style="9" customWidth="1"/>
    <col min="12568" max="12568" width="36.85546875" style="9" customWidth="1"/>
    <col min="12569" max="12575" width="14.28515625" style="9" customWidth="1"/>
    <col min="12576" max="12790" width="9.140625" style="9"/>
    <col min="12791" max="12791" width="38.5703125" style="9" customWidth="1"/>
    <col min="12792" max="12792" width="6.5703125" style="9" customWidth="1"/>
    <col min="12793" max="12793" width="7.7109375" style="9" bestFit="1" customWidth="1"/>
    <col min="12794" max="12794" width="7.28515625" style="9" customWidth="1"/>
    <col min="12795" max="12795" width="6.5703125" style="9" bestFit="1" customWidth="1"/>
    <col min="12796" max="12796" width="7.28515625" style="9" bestFit="1" customWidth="1"/>
    <col min="12797" max="12797" width="8.140625" style="9" customWidth="1"/>
    <col min="12798" max="12798" width="7.140625" style="9" customWidth="1"/>
    <col min="12799" max="12799" width="7.7109375" style="9" bestFit="1" customWidth="1"/>
    <col min="12800" max="12800" width="7.28515625" style="9" customWidth="1"/>
    <col min="12801" max="12801" width="7" style="9" customWidth="1"/>
    <col min="12802" max="12802" width="7.5703125" style="9" customWidth="1"/>
    <col min="12803" max="12803" width="7.140625" style="9" customWidth="1"/>
    <col min="12804" max="12804" width="7" style="9" customWidth="1"/>
    <col min="12805" max="12805" width="7.5703125" style="9" customWidth="1"/>
    <col min="12806" max="12806" width="7.140625" style="9" customWidth="1"/>
    <col min="12807" max="12823" width="8.7109375" style="9" customWidth="1"/>
    <col min="12824" max="12824" width="36.85546875" style="9" customWidth="1"/>
    <col min="12825" max="12831" width="14.28515625" style="9" customWidth="1"/>
    <col min="12832" max="13046" width="9.140625" style="9"/>
    <col min="13047" max="13047" width="38.5703125" style="9" customWidth="1"/>
    <col min="13048" max="13048" width="6.5703125" style="9" customWidth="1"/>
    <col min="13049" max="13049" width="7.7109375" style="9" bestFit="1" customWidth="1"/>
    <col min="13050" max="13050" width="7.28515625" style="9" customWidth="1"/>
    <col min="13051" max="13051" width="6.5703125" style="9" bestFit="1" customWidth="1"/>
    <col min="13052" max="13052" width="7.28515625" style="9" bestFit="1" customWidth="1"/>
    <col min="13053" max="13053" width="8.140625" style="9" customWidth="1"/>
    <col min="13054" max="13054" width="7.140625" style="9" customWidth="1"/>
    <col min="13055" max="13055" width="7.7109375" style="9" bestFit="1" customWidth="1"/>
    <col min="13056" max="13056" width="7.28515625" style="9" customWidth="1"/>
    <col min="13057" max="13057" width="7" style="9" customWidth="1"/>
    <col min="13058" max="13058" width="7.5703125" style="9" customWidth="1"/>
    <col min="13059" max="13059" width="7.140625" style="9" customWidth="1"/>
    <col min="13060" max="13060" width="7" style="9" customWidth="1"/>
    <col min="13061" max="13061" width="7.5703125" style="9" customWidth="1"/>
    <col min="13062" max="13062" width="7.140625" style="9" customWidth="1"/>
    <col min="13063" max="13079" width="8.7109375" style="9" customWidth="1"/>
    <col min="13080" max="13080" width="36.85546875" style="9" customWidth="1"/>
    <col min="13081" max="13087" width="14.28515625" style="9" customWidth="1"/>
    <col min="13088" max="13302" width="9.140625" style="9"/>
    <col min="13303" max="13303" width="38.5703125" style="9" customWidth="1"/>
    <col min="13304" max="13304" width="6.5703125" style="9" customWidth="1"/>
    <col min="13305" max="13305" width="7.7109375" style="9" bestFit="1" customWidth="1"/>
    <col min="13306" max="13306" width="7.28515625" style="9" customWidth="1"/>
    <col min="13307" max="13307" width="6.5703125" style="9" bestFit="1" customWidth="1"/>
    <col min="13308" max="13308" width="7.28515625" style="9" bestFit="1" customWidth="1"/>
    <col min="13309" max="13309" width="8.140625" style="9" customWidth="1"/>
    <col min="13310" max="13310" width="7.140625" style="9" customWidth="1"/>
    <col min="13311" max="13311" width="7.7109375" style="9" bestFit="1" customWidth="1"/>
    <col min="13312" max="13312" width="7.28515625" style="9" customWidth="1"/>
    <col min="13313" max="13313" width="7" style="9" customWidth="1"/>
    <col min="13314" max="13314" width="7.5703125" style="9" customWidth="1"/>
    <col min="13315" max="13315" width="7.140625" style="9" customWidth="1"/>
    <col min="13316" max="13316" width="7" style="9" customWidth="1"/>
    <col min="13317" max="13317" width="7.5703125" style="9" customWidth="1"/>
    <col min="13318" max="13318" width="7.140625" style="9" customWidth="1"/>
    <col min="13319" max="13335" width="8.7109375" style="9" customWidth="1"/>
    <col min="13336" max="13336" width="36.85546875" style="9" customWidth="1"/>
    <col min="13337" max="13343" width="14.28515625" style="9" customWidth="1"/>
    <col min="13344" max="13558" width="9.140625" style="9"/>
    <col min="13559" max="13559" width="38.5703125" style="9" customWidth="1"/>
    <col min="13560" max="13560" width="6.5703125" style="9" customWidth="1"/>
    <col min="13561" max="13561" width="7.7109375" style="9" bestFit="1" customWidth="1"/>
    <col min="13562" max="13562" width="7.28515625" style="9" customWidth="1"/>
    <col min="13563" max="13563" width="6.5703125" style="9" bestFit="1" customWidth="1"/>
    <col min="13564" max="13564" width="7.28515625" style="9" bestFit="1" customWidth="1"/>
    <col min="13565" max="13565" width="8.140625" style="9" customWidth="1"/>
    <col min="13566" max="13566" width="7.140625" style="9" customWidth="1"/>
    <col min="13567" max="13567" width="7.7109375" style="9" bestFit="1" customWidth="1"/>
    <col min="13568" max="13568" width="7.28515625" style="9" customWidth="1"/>
    <col min="13569" max="13569" width="7" style="9" customWidth="1"/>
    <col min="13570" max="13570" width="7.5703125" style="9" customWidth="1"/>
    <col min="13571" max="13571" width="7.140625" style="9" customWidth="1"/>
    <col min="13572" max="13572" width="7" style="9" customWidth="1"/>
    <col min="13573" max="13573" width="7.5703125" style="9" customWidth="1"/>
    <col min="13574" max="13574" width="7.140625" style="9" customWidth="1"/>
    <col min="13575" max="13591" width="8.7109375" style="9" customWidth="1"/>
    <col min="13592" max="13592" width="36.85546875" style="9" customWidth="1"/>
    <col min="13593" max="13599" width="14.28515625" style="9" customWidth="1"/>
    <col min="13600" max="13814" width="9.140625" style="9"/>
    <col min="13815" max="13815" width="38.5703125" style="9" customWidth="1"/>
    <col min="13816" max="13816" width="6.5703125" style="9" customWidth="1"/>
    <col min="13817" max="13817" width="7.7109375" style="9" bestFit="1" customWidth="1"/>
    <col min="13818" max="13818" width="7.28515625" style="9" customWidth="1"/>
    <col min="13819" max="13819" width="6.5703125" style="9" bestFit="1" customWidth="1"/>
    <col min="13820" max="13820" width="7.28515625" style="9" bestFit="1" customWidth="1"/>
    <col min="13821" max="13821" width="8.140625" style="9" customWidth="1"/>
    <col min="13822" max="13822" width="7.140625" style="9" customWidth="1"/>
    <col min="13823" max="13823" width="7.7109375" style="9" bestFit="1" customWidth="1"/>
    <col min="13824" max="13824" width="7.28515625" style="9" customWidth="1"/>
    <col min="13825" max="13825" width="7" style="9" customWidth="1"/>
    <col min="13826" max="13826" width="7.5703125" style="9" customWidth="1"/>
    <col min="13827" max="13827" width="7.140625" style="9" customWidth="1"/>
    <col min="13828" max="13828" width="7" style="9" customWidth="1"/>
    <col min="13829" max="13829" width="7.5703125" style="9" customWidth="1"/>
    <col min="13830" max="13830" width="7.140625" style="9" customWidth="1"/>
    <col min="13831" max="13847" width="8.7109375" style="9" customWidth="1"/>
    <col min="13848" max="13848" width="36.85546875" style="9" customWidth="1"/>
    <col min="13849" max="13855" width="14.28515625" style="9" customWidth="1"/>
    <col min="13856" max="14070" width="9.140625" style="9"/>
    <col min="14071" max="14071" width="38.5703125" style="9" customWidth="1"/>
    <col min="14072" max="14072" width="6.5703125" style="9" customWidth="1"/>
    <col min="14073" max="14073" width="7.7109375" style="9" bestFit="1" customWidth="1"/>
    <col min="14074" max="14074" width="7.28515625" style="9" customWidth="1"/>
    <col min="14075" max="14075" width="6.5703125" style="9" bestFit="1" customWidth="1"/>
    <col min="14076" max="14076" width="7.28515625" style="9" bestFit="1" customWidth="1"/>
    <col min="14077" max="14077" width="8.140625" style="9" customWidth="1"/>
    <col min="14078" max="14078" width="7.140625" style="9" customWidth="1"/>
    <col min="14079" max="14079" width="7.7109375" style="9" bestFit="1" customWidth="1"/>
    <col min="14080" max="14080" width="7.28515625" style="9" customWidth="1"/>
    <col min="14081" max="14081" width="7" style="9" customWidth="1"/>
    <col min="14082" max="14082" width="7.5703125" style="9" customWidth="1"/>
    <col min="14083" max="14083" width="7.140625" style="9" customWidth="1"/>
    <col min="14084" max="14084" width="7" style="9" customWidth="1"/>
    <col min="14085" max="14085" width="7.5703125" style="9" customWidth="1"/>
    <col min="14086" max="14086" width="7.140625" style="9" customWidth="1"/>
    <col min="14087" max="14103" width="8.7109375" style="9" customWidth="1"/>
    <col min="14104" max="14104" width="36.85546875" style="9" customWidth="1"/>
    <col min="14105" max="14111" width="14.28515625" style="9" customWidth="1"/>
    <col min="14112" max="14326" width="9.140625" style="9"/>
    <col min="14327" max="14327" width="38.5703125" style="9" customWidth="1"/>
    <col min="14328" max="14328" width="6.5703125" style="9" customWidth="1"/>
    <col min="14329" max="14329" width="7.7109375" style="9" bestFit="1" customWidth="1"/>
    <col min="14330" max="14330" width="7.28515625" style="9" customWidth="1"/>
    <col min="14331" max="14331" width="6.5703125" style="9" bestFit="1" customWidth="1"/>
    <col min="14332" max="14332" width="7.28515625" style="9" bestFit="1" customWidth="1"/>
    <col min="14333" max="14333" width="8.140625" style="9" customWidth="1"/>
    <col min="14334" max="14334" width="7.140625" style="9" customWidth="1"/>
    <col min="14335" max="14335" width="7.7109375" style="9" bestFit="1" customWidth="1"/>
    <col min="14336" max="14336" width="7.28515625" style="9" customWidth="1"/>
    <col min="14337" max="14337" width="7" style="9" customWidth="1"/>
    <col min="14338" max="14338" width="7.5703125" style="9" customWidth="1"/>
    <col min="14339" max="14339" width="7.140625" style="9" customWidth="1"/>
    <col min="14340" max="14340" width="7" style="9" customWidth="1"/>
    <col min="14341" max="14341" width="7.5703125" style="9" customWidth="1"/>
    <col min="14342" max="14342" width="7.140625" style="9" customWidth="1"/>
    <col min="14343" max="14359" width="8.7109375" style="9" customWidth="1"/>
    <col min="14360" max="14360" width="36.85546875" style="9" customWidth="1"/>
    <col min="14361" max="14367" width="14.28515625" style="9" customWidth="1"/>
    <col min="14368" max="14582" width="9.140625" style="9"/>
    <col min="14583" max="14583" width="38.5703125" style="9" customWidth="1"/>
    <col min="14584" max="14584" width="6.5703125" style="9" customWidth="1"/>
    <col min="14585" max="14585" width="7.7109375" style="9" bestFit="1" customWidth="1"/>
    <col min="14586" max="14586" width="7.28515625" style="9" customWidth="1"/>
    <col min="14587" max="14587" width="6.5703125" style="9" bestFit="1" customWidth="1"/>
    <col min="14588" max="14588" width="7.28515625" style="9" bestFit="1" customWidth="1"/>
    <col min="14589" max="14589" width="8.140625" style="9" customWidth="1"/>
    <col min="14590" max="14590" width="7.140625" style="9" customWidth="1"/>
    <col min="14591" max="14591" width="7.7109375" style="9" bestFit="1" customWidth="1"/>
    <col min="14592" max="14592" width="7.28515625" style="9" customWidth="1"/>
    <col min="14593" max="14593" width="7" style="9" customWidth="1"/>
    <col min="14594" max="14594" width="7.5703125" style="9" customWidth="1"/>
    <col min="14595" max="14595" width="7.140625" style="9" customWidth="1"/>
    <col min="14596" max="14596" width="7" style="9" customWidth="1"/>
    <col min="14597" max="14597" width="7.5703125" style="9" customWidth="1"/>
    <col min="14598" max="14598" width="7.140625" style="9" customWidth="1"/>
    <col min="14599" max="14615" width="8.7109375" style="9" customWidth="1"/>
    <col min="14616" max="14616" width="36.85546875" style="9" customWidth="1"/>
    <col min="14617" max="14623" width="14.28515625" style="9" customWidth="1"/>
    <col min="14624" max="14838" width="9.140625" style="9"/>
    <col min="14839" max="14839" width="38.5703125" style="9" customWidth="1"/>
    <col min="14840" max="14840" width="6.5703125" style="9" customWidth="1"/>
    <col min="14841" max="14841" width="7.7109375" style="9" bestFit="1" customWidth="1"/>
    <col min="14842" max="14842" width="7.28515625" style="9" customWidth="1"/>
    <col min="14843" max="14843" width="6.5703125" style="9" bestFit="1" customWidth="1"/>
    <col min="14844" max="14844" width="7.28515625" style="9" bestFit="1" customWidth="1"/>
    <col min="14845" max="14845" width="8.140625" style="9" customWidth="1"/>
    <col min="14846" max="14846" width="7.140625" style="9" customWidth="1"/>
    <col min="14847" max="14847" width="7.7109375" style="9" bestFit="1" customWidth="1"/>
    <col min="14848" max="14848" width="7.28515625" style="9" customWidth="1"/>
    <col min="14849" max="14849" width="7" style="9" customWidth="1"/>
    <col min="14850" max="14850" width="7.5703125" style="9" customWidth="1"/>
    <col min="14851" max="14851" width="7.140625" style="9" customWidth="1"/>
    <col min="14852" max="14852" width="7" style="9" customWidth="1"/>
    <col min="14853" max="14853" width="7.5703125" style="9" customWidth="1"/>
    <col min="14854" max="14854" width="7.140625" style="9" customWidth="1"/>
    <col min="14855" max="14871" width="8.7109375" style="9" customWidth="1"/>
    <col min="14872" max="14872" width="36.85546875" style="9" customWidth="1"/>
    <col min="14873" max="14879" width="14.28515625" style="9" customWidth="1"/>
    <col min="14880" max="15094" width="9.140625" style="9"/>
    <col min="15095" max="15095" width="38.5703125" style="9" customWidth="1"/>
    <col min="15096" max="15096" width="6.5703125" style="9" customWidth="1"/>
    <col min="15097" max="15097" width="7.7109375" style="9" bestFit="1" customWidth="1"/>
    <col min="15098" max="15098" width="7.28515625" style="9" customWidth="1"/>
    <col min="15099" max="15099" width="6.5703125" style="9" bestFit="1" customWidth="1"/>
    <col min="15100" max="15100" width="7.28515625" style="9" bestFit="1" customWidth="1"/>
    <col min="15101" max="15101" width="8.140625" style="9" customWidth="1"/>
    <col min="15102" max="15102" width="7.140625" style="9" customWidth="1"/>
    <col min="15103" max="15103" width="7.7109375" style="9" bestFit="1" customWidth="1"/>
    <col min="15104" max="15104" width="7.28515625" style="9" customWidth="1"/>
    <col min="15105" max="15105" width="7" style="9" customWidth="1"/>
    <col min="15106" max="15106" width="7.5703125" style="9" customWidth="1"/>
    <col min="15107" max="15107" width="7.140625" style="9" customWidth="1"/>
    <col min="15108" max="15108" width="7" style="9" customWidth="1"/>
    <col min="15109" max="15109" width="7.5703125" style="9" customWidth="1"/>
    <col min="15110" max="15110" width="7.140625" style="9" customWidth="1"/>
    <col min="15111" max="15127" width="8.7109375" style="9" customWidth="1"/>
    <col min="15128" max="15128" width="36.85546875" style="9" customWidth="1"/>
    <col min="15129" max="15135" width="14.28515625" style="9" customWidth="1"/>
    <col min="15136" max="15350" width="9.140625" style="9"/>
    <col min="15351" max="15351" width="38.5703125" style="9" customWidth="1"/>
    <col min="15352" max="15352" width="6.5703125" style="9" customWidth="1"/>
    <col min="15353" max="15353" width="7.7109375" style="9" bestFit="1" customWidth="1"/>
    <col min="15354" max="15354" width="7.28515625" style="9" customWidth="1"/>
    <col min="15355" max="15355" width="6.5703125" style="9" bestFit="1" customWidth="1"/>
    <col min="15356" max="15356" width="7.28515625" style="9" bestFit="1" customWidth="1"/>
    <col min="15357" max="15357" width="8.140625" style="9" customWidth="1"/>
    <col min="15358" max="15358" width="7.140625" style="9" customWidth="1"/>
    <col min="15359" max="15359" width="7.7109375" style="9" bestFit="1" customWidth="1"/>
    <col min="15360" max="15360" width="7.28515625" style="9" customWidth="1"/>
    <col min="15361" max="15361" width="7" style="9" customWidth="1"/>
    <col min="15362" max="15362" width="7.5703125" style="9" customWidth="1"/>
    <col min="15363" max="15363" width="7.140625" style="9" customWidth="1"/>
    <col min="15364" max="15364" width="7" style="9" customWidth="1"/>
    <col min="15365" max="15365" width="7.5703125" style="9" customWidth="1"/>
    <col min="15366" max="15366" width="7.140625" style="9" customWidth="1"/>
    <col min="15367" max="15383" width="8.7109375" style="9" customWidth="1"/>
    <col min="15384" max="15384" width="36.85546875" style="9" customWidth="1"/>
    <col min="15385" max="15391" width="14.28515625" style="9" customWidth="1"/>
    <col min="15392" max="15606" width="9.140625" style="9"/>
    <col min="15607" max="15607" width="38.5703125" style="9" customWidth="1"/>
    <col min="15608" max="15608" width="6.5703125" style="9" customWidth="1"/>
    <col min="15609" max="15609" width="7.7109375" style="9" bestFit="1" customWidth="1"/>
    <col min="15610" max="15610" width="7.28515625" style="9" customWidth="1"/>
    <col min="15611" max="15611" width="6.5703125" style="9" bestFit="1" customWidth="1"/>
    <col min="15612" max="15612" width="7.28515625" style="9" bestFit="1" customWidth="1"/>
    <col min="15613" max="15613" width="8.140625" style="9" customWidth="1"/>
    <col min="15614" max="15614" width="7.140625" style="9" customWidth="1"/>
    <col min="15615" max="15615" width="7.7109375" style="9" bestFit="1" customWidth="1"/>
    <col min="15616" max="15616" width="7.28515625" style="9" customWidth="1"/>
    <col min="15617" max="15617" width="7" style="9" customWidth="1"/>
    <col min="15618" max="15618" width="7.5703125" style="9" customWidth="1"/>
    <col min="15619" max="15619" width="7.140625" style="9" customWidth="1"/>
    <col min="15620" max="15620" width="7" style="9" customWidth="1"/>
    <col min="15621" max="15621" width="7.5703125" style="9" customWidth="1"/>
    <col min="15622" max="15622" width="7.140625" style="9" customWidth="1"/>
    <col min="15623" max="15639" width="8.7109375" style="9" customWidth="1"/>
    <col min="15640" max="15640" width="36.85546875" style="9" customWidth="1"/>
    <col min="15641" max="15647" width="14.28515625" style="9" customWidth="1"/>
    <col min="15648" max="15862" width="9.140625" style="9"/>
    <col min="15863" max="15863" width="38.5703125" style="9" customWidth="1"/>
    <col min="15864" max="15864" width="6.5703125" style="9" customWidth="1"/>
    <col min="15865" max="15865" width="7.7109375" style="9" bestFit="1" customWidth="1"/>
    <col min="15866" max="15866" width="7.28515625" style="9" customWidth="1"/>
    <col min="15867" max="15867" width="6.5703125" style="9" bestFit="1" customWidth="1"/>
    <col min="15868" max="15868" width="7.28515625" style="9" bestFit="1" customWidth="1"/>
    <col min="15869" max="15869" width="8.140625" style="9" customWidth="1"/>
    <col min="15870" max="15870" width="7.140625" style="9" customWidth="1"/>
    <col min="15871" max="15871" width="7.7109375" style="9" bestFit="1" customWidth="1"/>
    <col min="15872" max="15872" width="7.28515625" style="9" customWidth="1"/>
    <col min="15873" max="15873" width="7" style="9" customWidth="1"/>
    <col min="15874" max="15874" width="7.5703125" style="9" customWidth="1"/>
    <col min="15875" max="15875" width="7.140625" style="9" customWidth="1"/>
    <col min="15876" max="15876" width="7" style="9" customWidth="1"/>
    <col min="15877" max="15877" width="7.5703125" style="9" customWidth="1"/>
    <col min="15878" max="15878" width="7.140625" style="9" customWidth="1"/>
    <col min="15879" max="15895" width="8.7109375" style="9" customWidth="1"/>
    <col min="15896" max="15896" width="36.85546875" style="9" customWidth="1"/>
    <col min="15897" max="15903" width="14.28515625" style="9" customWidth="1"/>
    <col min="15904" max="16118" width="9.140625" style="9"/>
    <col min="16119" max="16119" width="38.5703125" style="9" customWidth="1"/>
    <col min="16120" max="16120" width="6.5703125" style="9" customWidth="1"/>
    <col min="16121" max="16121" width="7.7109375" style="9" bestFit="1" customWidth="1"/>
    <col min="16122" max="16122" width="7.28515625" style="9" customWidth="1"/>
    <col min="16123" max="16123" width="6.5703125" style="9" bestFit="1" customWidth="1"/>
    <col min="16124" max="16124" width="7.28515625" style="9" bestFit="1" customWidth="1"/>
    <col min="16125" max="16125" width="8.140625" style="9" customWidth="1"/>
    <col min="16126" max="16126" width="7.140625" style="9" customWidth="1"/>
    <col min="16127" max="16127" width="7.7109375" style="9" bestFit="1" customWidth="1"/>
    <col min="16128" max="16128" width="7.28515625" style="9" customWidth="1"/>
    <col min="16129" max="16129" width="7" style="9" customWidth="1"/>
    <col min="16130" max="16130" width="7.5703125" style="9" customWidth="1"/>
    <col min="16131" max="16131" width="7.140625" style="9" customWidth="1"/>
    <col min="16132" max="16132" width="7" style="9" customWidth="1"/>
    <col min="16133" max="16133" width="7.5703125" style="9" customWidth="1"/>
    <col min="16134" max="16134" width="7.140625" style="9" customWidth="1"/>
    <col min="16135" max="16151" width="8.7109375" style="9" customWidth="1"/>
    <col min="16152" max="16152" width="36.85546875" style="9" customWidth="1"/>
    <col min="16153" max="16159" width="14.28515625" style="9" customWidth="1"/>
    <col min="16160" max="16384" width="9.140625" style="9"/>
  </cols>
  <sheetData>
    <row r="1" spans="1:38" ht="16.5" customHeight="1">
      <c r="K1"/>
      <c r="L1"/>
      <c r="W1" s="1444" t="s">
        <v>739</v>
      </c>
      <c r="X1" s="1445"/>
    </row>
    <row r="2" spans="1:38" ht="42" customHeight="1">
      <c r="A2" s="1569" t="s">
        <v>1215</v>
      </c>
      <c r="B2" s="1569"/>
      <c r="C2" s="1569"/>
      <c r="D2" s="1569"/>
      <c r="E2" s="1569"/>
      <c r="F2" s="1569"/>
      <c r="G2" s="1569"/>
      <c r="H2" s="1569"/>
      <c r="I2" s="1569"/>
      <c r="J2" s="1569"/>
      <c r="K2" s="1569"/>
      <c r="L2" s="1569"/>
      <c r="M2" s="1569"/>
      <c r="N2" s="1569"/>
      <c r="O2" s="1569"/>
      <c r="P2" s="1569"/>
      <c r="Q2" s="1569"/>
      <c r="R2" s="1569"/>
      <c r="S2" s="1569"/>
      <c r="T2" s="1569"/>
      <c r="U2" s="1569"/>
      <c r="V2" s="1569"/>
      <c r="W2" s="1569"/>
      <c r="X2" s="1569"/>
    </row>
    <row r="3" spans="1:38" ht="11.25" customHeight="1">
      <c r="B3" s="559"/>
      <c r="C3" s="9"/>
      <c r="D3" s="9"/>
      <c r="E3" s="9"/>
      <c r="F3" s="9"/>
      <c r="G3" s="9"/>
      <c r="H3" s="9"/>
      <c r="I3" s="9"/>
      <c r="J3" s="9"/>
      <c r="K3" s="9"/>
      <c r="L3" s="9"/>
      <c r="M3" s="596"/>
      <c r="N3" s="9"/>
      <c r="O3" s="9"/>
      <c r="P3" s="9"/>
      <c r="Q3" s="9"/>
      <c r="R3" s="9"/>
      <c r="S3" s="9"/>
      <c r="T3" s="9"/>
      <c r="U3" s="9"/>
      <c r="V3" s="9"/>
      <c r="W3" s="9"/>
      <c r="X3" s="598"/>
    </row>
    <row r="4" spans="1:38" s="192" customFormat="1" ht="25.5" customHeight="1">
      <c r="A4" s="187" t="s">
        <v>1515</v>
      </c>
      <c r="B4" s="188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9"/>
      <c r="N4"/>
      <c r="O4"/>
      <c r="P4"/>
      <c r="Q4"/>
      <c r="R4"/>
      <c r="S4"/>
      <c r="T4"/>
      <c r="U4"/>
      <c r="V4"/>
      <c r="W4"/>
      <c r="X4" s="599"/>
      <c r="Z4" s="858"/>
      <c r="AA4" s="858"/>
      <c r="AB4" s="858"/>
      <c r="AC4" s="858"/>
      <c r="AD4" s="858"/>
      <c r="AE4" s="858"/>
    </row>
    <row r="5" spans="1:38" s="192" customFormat="1" ht="25.5" customHeight="1">
      <c r="A5" s="187"/>
      <c r="B5" s="188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9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665" t="s">
        <v>873</v>
      </c>
      <c r="Z5" s="858"/>
      <c r="AA5" s="858"/>
      <c r="AB5" s="858"/>
      <c r="AC5" s="858"/>
      <c r="AD5" s="858"/>
      <c r="AE5" s="858"/>
    </row>
    <row r="6" spans="1:38" ht="36" customHeight="1">
      <c r="A6" s="1570" t="s">
        <v>740</v>
      </c>
      <c r="B6" s="1571"/>
      <c r="C6" s="1578" t="s">
        <v>1019</v>
      </c>
      <c r="D6" s="1579"/>
      <c r="E6" s="1579"/>
      <c r="F6" s="1579"/>
      <c r="G6" s="1579"/>
      <c r="H6" s="1579"/>
      <c r="I6" s="1579"/>
      <c r="J6" s="1579"/>
      <c r="K6" s="1579"/>
      <c r="L6" s="1580"/>
      <c r="M6" s="603"/>
      <c r="N6" s="1566" t="s">
        <v>1020</v>
      </c>
      <c r="O6" s="1567"/>
      <c r="P6" s="1567"/>
      <c r="Q6" s="1567"/>
      <c r="R6" s="1567"/>
      <c r="S6" s="1567"/>
      <c r="T6" s="1567"/>
      <c r="U6" s="1567"/>
      <c r="V6" s="1567"/>
      <c r="W6" s="1568"/>
      <c r="X6" s="1539" t="s">
        <v>1193</v>
      </c>
    </row>
    <row r="7" spans="1:38" s="21" customFormat="1" ht="28.5" customHeight="1">
      <c r="A7" s="1572"/>
      <c r="B7" s="1573"/>
      <c r="C7" s="1576" t="s">
        <v>1003</v>
      </c>
      <c r="D7" s="1557"/>
      <c r="E7" s="1557"/>
      <c r="F7" s="1557"/>
      <c r="G7" s="1557"/>
      <c r="H7" s="1557"/>
      <c r="I7" s="1557"/>
      <c r="J7" s="1557"/>
      <c r="K7" s="1557"/>
      <c r="L7" s="1558"/>
      <c r="M7" s="604"/>
      <c r="N7" s="1557" t="s">
        <v>1003</v>
      </c>
      <c r="O7" s="1557"/>
      <c r="P7" s="1557"/>
      <c r="Q7" s="1557"/>
      <c r="R7" s="1557"/>
      <c r="S7" s="1557"/>
      <c r="T7" s="1557"/>
      <c r="U7" s="1557"/>
      <c r="V7" s="1557"/>
      <c r="W7" s="1558"/>
      <c r="X7" s="1539"/>
      <c r="Z7" s="859"/>
      <c r="AA7" s="859"/>
      <c r="AB7" s="859"/>
      <c r="AC7" s="859"/>
      <c r="AD7" s="859"/>
      <c r="AE7" s="859"/>
    </row>
    <row r="8" spans="1:38" s="21" customFormat="1" ht="36.75" customHeight="1">
      <c r="A8" s="1572"/>
      <c r="B8" s="1573"/>
      <c r="C8" s="1577" t="s">
        <v>997</v>
      </c>
      <c r="D8" s="1560"/>
      <c r="E8" s="1561"/>
      <c r="F8" s="1559" t="s">
        <v>1005</v>
      </c>
      <c r="G8" s="1562"/>
      <c r="H8" s="1563"/>
      <c r="I8" s="1559" t="s">
        <v>1006</v>
      </c>
      <c r="J8" s="1562"/>
      <c r="K8" s="1563"/>
      <c r="L8" s="1564" t="s">
        <v>136</v>
      </c>
      <c r="M8" s="604"/>
      <c r="N8" s="1559" t="s">
        <v>997</v>
      </c>
      <c r="O8" s="1560"/>
      <c r="P8" s="1561"/>
      <c r="Q8" s="1559" t="s">
        <v>1005</v>
      </c>
      <c r="R8" s="1562"/>
      <c r="S8" s="1563"/>
      <c r="T8" s="1559" t="s">
        <v>1006</v>
      </c>
      <c r="U8" s="1562"/>
      <c r="V8" s="1563"/>
      <c r="W8" s="1564" t="s">
        <v>136</v>
      </c>
      <c r="X8" s="1539"/>
      <c r="Z8" s="859"/>
      <c r="AA8" s="859"/>
      <c r="AB8" s="859"/>
      <c r="AC8" s="859"/>
      <c r="AD8" s="859"/>
      <c r="AE8" s="859"/>
    </row>
    <row r="9" spans="1:38" s="21" customFormat="1" ht="39.950000000000003" customHeight="1">
      <c r="A9" s="1574"/>
      <c r="B9" s="1575"/>
      <c r="C9" s="610" t="s">
        <v>743</v>
      </c>
      <c r="D9" s="236" t="s">
        <v>744</v>
      </c>
      <c r="E9" s="22" t="s">
        <v>136</v>
      </c>
      <c r="F9" s="235" t="s">
        <v>743</v>
      </c>
      <c r="G9" s="236" t="s">
        <v>744</v>
      </c>
      <c r="H9" s="22" t="s">
        <v>136</v>
      </c>
      <c r="I9" s="235" t="s">
        <v>743</v>
      </c>
      <c r="J9" s="236" t="s">
        <v>744</v>
      </c>
      <c r="K9" s="22" t="s">
        <v>136</v>
      </c>
      <c r="L9" s="1565"/>
      <c r="M9" s="604"/>
      <c r="N9" s="235" t="s">
        <v>743</v>
      </c>
      <c r="O9" s="236" t="s">
        <v>744</v>
      </c>
      <c r="P9" s="22" t="s">
        <v>136</v>
      </c>
      <c r="Q9" s="235" t="s">
        <v>743</v>
      </c>
      <c r="R9" s="236" t="s">
        <v>744</v>
      </c>
      <c r="S9" s="22" t="s">
        <v>136</v>
      </c>
      <c r="T9" s="235" t="s">
        <v>743</v>
      </c>
      <c r="U9" s="236" t="s">
        <v>744</v>
      </c>
      <c r="V9" s="22" t="s">
        <v>136</v>
      </c>
      <c r="W9" s="1565"/>
      <c r="X9" s="1539"/>
      <c r="Z9" s="1582" t="s">
        <v>1444</v>
      </c>
      <c r="AA9" s="1582"/>
      <c r="AB9" s="1582" t="s">
        <v>1445</v>
      </c>
      <c r="AC9" s="1582"/>
      <c r="AD9" s="1582" t="s">
        <v>1446</v>
      </c>
      <c r="AE9" s="1582"/>
      <c r="AG9" s="1582" t="s">
        <v>1444</v>
      </c>
      <c r="AH9" s="1582"/>
      <c r="AI9" s="1582" t="s">
        <v>1445</v>
      </c>
      <c r="AJ9" s="1582"/>
      <c r="AK9" s="1582" t="s">
        <v>1446</v>
      </c>
      <c r="AL9" s="1582"/>
    </row>
    <row r="10" spans="1:38" ht="15" customHeight="1">
      <c r="A10" s="1581" t="s">
        <v>140</v>
      </c>
      <c r="B10" s="1581"/>
      <c r="C10" s="1581"/>
      <c r="D10" s="1581"/>
      <c r="E10" s="1581"/>
      <c r="F10" s="1581"/>
      <c r="G10" s="1581"/>
      <c r="H10" s="1581"/>
      <c r="I10" s="1581"/>
      <c r="J10" s="1581"/>
      <c r="K10" s="1581"/>
      <c r="L10" s="1581"/>
      <c r="M10" s="604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0"/>
      <c r="AG10" s="857"/>
      <c r="AH10" s="857"/>
      <c r="AI10" s="857"/>
      <c r="AJ10" s="857"/>
      <c r="AK10" s="857"/>
      <c r="AL10" s="857"/>
    </row>
    <row r="11" spans="1:38" s="7" customFormat="1" ht="18.95" customHeight="1">
      <c r="A11" s="736">
        <v>1</v>
      </c>
      <c r="B11" s="853" t="s">
        <v>368</v>
      </c>
      <c r="C11" s="863">
        <f>+('107 (a)'!G10*'107(b)'!Z11)/1000000</f>
        <v>2.7103999999999999</v>
      </c>
      <c r="D11" s="863">
        <f>+('107 (a)'!G10*'107(b)'!AA11)/1000000</f>
        <v>0.47960000000000003</v>
      </c>
      <c r="E11" s="869">
        <f>C11+D11</f>
        <v>3.19</v>
      </c>
      <c r="F11" s="870">
        <f>+('107 (a)'!H10*'107(b)'!AB11)/1000000</f>
        <v>0.67210000000000003</v>
      </c>
      <c r="G11" s="870">
        <f>+('107 (a)'!H10*'107(b)'!AC11)/1000000</f>
        <v>0.15509999999999999</v>
      </c>
      <c r="H11" s="869">
        <f>F11+G11</f>
        <v>0.82720000000000005</v>
      </c>
      <c r="I11" s="872">
        <f>+('107 (a)'!J10*50600)/1000000</f>
        <v>0</v>
      </c>
      <c r="J11" s="271"/>
      <c r="K11" s="873">
        <f>I11+J11</f>
        <v>0</v>
      </c>
      <c r="L11" s="874">
        <f>E11+K11+H11</f>
        <v>4.0171999999999999</v>
      </c>
      <c r="M11" s="604"/>
      <c r="N11" s="887">
        <f>+('107 (a)'!S10*'107 (a)'!AB10)/1000000</f>
        <v>0</v>
      </c>
      <c r="O11" s="271"/>
      <c r="P11" s="606">
        <f>N11+O11</f>
        <v>0</v>
      </c>
      <c r="Q11" s="606">
        <f>+('107 (a)'!T10*'107 (a)'!AC10)/1000000</f>
        <v>0</v>
      </c>
      <c r="R11" s="606"/>
      <c r="S11" s="606">
        <f>Q11+R11</f>
        <v>0</v>
      </c>
      <c r="T11" s="271"/>
      <c r="U11" s="271"/>
      <c r="V11" s="607">
        <f>T11+U11</f>
        <v>0</v>
      </c>
      <c r="W11" s="608">
        <f>P11+V11+S11</f>
        <v>0</v>
      </c>
      <c r="X11" s="601">
        <f>W11+L11</f>
        <v>4.0171999999999999</v>
      </c>
      <c r="Z11" s="860">
        <f>SUM(AG11*2)</f>
        <v>61600</v>
      </c>
      <c r="AA11" s="860">
        <f>SUM(AH11*2)-500</f>
        <v>10900</v>
      </c>
      <c r="AB11" s="860">
        <f>SUM(AI11*2)-500</f>
        <v>61100</v>
      </c>
      <c r="AC11" s="860">
        <f>SUM(AJ11*2)-500</f>
        <v>14100</v>
      </c>
      <c r="AD11" s="860"/>
      <c r="AE11" s="860"/>
      <c r="AG11" s="860">
        <v>30800</v>
      </c>
      <c r="AH11" s="860">
        <v>5700</v>
      </c>
      <c r="AI11" s="860">
        <v>30800</v>
      </c>
      <c r="AJ11" s="860">
        <v>7300</v>
      </c>
      <c r="AK11" s="860"/>
      <c r="AL11" s="860"/>
    </row>
    <row r="12" spans="1:38" s="7" customFormat="1" ht="28.5">
      <c r="A12" s="736">
        <v>2</v>
      </c>
      <c r="B12" s="853" t="s">
        <v>1309</v>
      </c>
      <c r="C12" s="863">
        <f>+('107 (a)'!G11*'107(b)'!Z12)/1000000</f>
        <v>8.4391999999999996</v>
      </c>
      <c r="D12" s="863">
        <f>+('107 (a)'!G11*'107(b)'!AA12)/1000000</f>
        <v>1.4933000000000001</v>
      </c>
      <c r="E12" s="869">
        <f t="shared" ref="E12:E20" si="0">C12+D12</f>
        <v>9.9324999999999992</v>
      </c>
      <c r="F12" s="870">
        <f>+('107 (a)'!H11*'107(b)'!AB12)/1000000</f>
        <v>6.109</v>
      </c>
      <c r="G12" s="870">
        <f>+('107 (a)'!H11*'107(b)'!AC12)/1000000</f>
        <v>1.1561999999999999</v>
      </c>
      <c r="H12" s="869">
        <f t="shared" ref="H12:H20" si="1">F12+G12</f>
        <v>7.2652000000000001</v>
      </c>
      <c r="I12" s="871">
        <f>+('107 (a)'!J11*100700)/1000000</f>
        <v>2.6181999999999999</v>
      </c>
      <c r="J12" s="871">
        <f>+('107 (a)'!K11*100700)/1000000</f>
        <v>0.30209999999999998</v>
      </c>
      <c r="K12" s="873">
        <f t="shared" ref="K12:K20" si="2">I12+J12</f>
        <v>2.9202999999999997</v>
      </c>
      <c r="L12" s="874">
        <f t="shared" ref="L12:L20" si="3">E12+K12+H12</f>
        <v>20.117999999999999</v>
      </c>
      <c r="M12" s="604"/>
      <c r="N12" s="887">
        <f>+('107 (a)'!S11*'107 (a)'!AB11)/1000000</f>
        <v>14.1615</v>
      </c>
      <c r="O12" s="271"/>
      <c r="P12" s="888">
        <f t="shared" ref="P12:P20" si="4">N12+O12</f>
        <v>14.1615</v>
      </c>
      <c r="Q12" s="606">
        <f>+('107 (a)'!T11*'107 (a)'!AC11)/1000000</f>
        <v>0</v>
      </c>
      <c r="R12" s="606"/>
      <c r="S12" s="606">
        <f t="shared" ref="S12:S20" si="5">Q12+R12</f>
        <v>0</v>
      </c>
      <c r="T12" s="271"/>
      <c r="U12" s="271"/>
      <c r="V12" s="607">
        <f t="shared" ref="V12:V20" si="6">T12+U12</f>
        <v>0</v>
      </c>
      <c r="W12" s="608">
        <f t="shared" ref="W12:W20" si="7">P12+V12+S12</f>
        <v>14.1615</v>
      </c>
      <c r="X12" s="601">
        <f t="shared" ref="X12:X20" si="8">W12+L12</f>
        <v>34.279499999999999</v>
      </c>
      <c r="Z12" s="860">
        <f t="shared" ref="Z12:Z20" si="9">SUM(AG12*2)</f>
        <v>61600</v>
      </c>
      <c r="AA12" s="860">
        <f t="shared" ref="AA12:AA20" si="10">SUM(AH12*2)-500</f>
        <v>10900</v>
      </c>
      <c r="AB12" s="860">
        <f t="shared" ref="AB12:AB20" si="11">SUM(AI12*2)-500</f>
        <v>74500</v>
      </c>
      <c r="AC12" s="860">
        <f t="shared" ref="AC12:AC20" si="12">SUM(AJ12*2)-500</f>
        <v>14100</v>
      </c>
      <c r="AD12" s="860"/>
      <c r="AE12" s="860"/>
      <c r="AG12" s="860">
        <v>30800</v>
      </c>
      <c r="AH12" s="860">
        <v>5700</v>
      </c>
      <c r="AI12" s="860">
        <v>37500</v>
      </c>
      <c r="AJ12" s="860">
        <v>7300</v>
      </c>
      <c r="AK12" s="860"/>
      <c r="AL12" s="860"/>
    </row>
    <row r="13" spans="1:38" s="7" customFormat="1" ht="18.95" customHeight="1">
      <c r="A13" s="736">
        <v>3</v>
      </c>
      <c r="B13" s="853" t="s">
        <v>380</v>
      </c>
      <c r="C13" s="863">
        <f>+('107 (a)'!G12*'107(b)'!Z13)/1000000</f>
        <v>3.9424000000000001</v>
      </c>
      <c r="D13" s="863">
        <f>+('107 (a)'!G12*'107(b)'!AA13)/1000000</f>
        <v>0.6976</v>
      </c>
      <c r="E13" s="869">
        <f t="shared" si="0"/>
        <v>4.6400000000000006</v>
      </c>
      <c r="F13" s="870">
        <f>+('107 (a)'!H12*'107(b)'!AB13)/1000000</f>
        <v>1.7108000000000001</v>
      </c>
      <c r="G13" s="870">
        <f>+('107 (a)'!H12*'107(b)'!AC13)/1000000</f>
        <v>0.39479999999999998</v>
      </c>
      <c r="H13" s="869">
        <f t="shared" si="1"/>
        <v>2.1055999999999999</v>
      </c>
      <c r="I13" s="871">
        <f>+('107 (a)'!J12*100700)/1000000</f>
        <v>2.1147</v>
      </c>
      <c r="J13" s="871">
        <f>+('107 (a)'!K12*100700)/1000000</f>
        <v>1.7119</v>
      </c>
      <c r="K13" s="873">
        <f t="shared" si="2"/>
        <v>3.8266</v>
      </c>
      <c r="L13" s="874">
        <f t="shared" si="3"/>
        <v>10.572199999999999</v>
      </c>
      <c r="M13" s="604"/>
      <c r="N13" s="887">
        <f>+('107 (a)'!S12*'107 (a)'!AB12)/1000000</f>
        <v>0</v>
      </c>
      <c r="O13" s="271"/>
      <c r="P13" s="606">
        <f t="shared" si="4"/>
        <v>0</v>
      </c>
      <c r="Q13" s="606">
        <f>+('107 (a)'!T12*'107 (a)'!AC12)/1000000</f>
        <v>0</v>
      </c>
      <c r="R13" s="606"/>
      <c r="S13" s="606">
        <f t="shared" si="5"/>
        <v>0</v>
      </c>
      <c r="T13" s="271"/>
      <c r="U13" s="271"/>
      <c r="V13" s="607">
        <f t="shared" si="6"/>
        <v>0</v>
      </c>
      <c r="W13" s="608">
        <f t="shared" si="7"/>
        <v>0</v>
      </c>
      <c r="X13" s="601">
        <f t="shared" si="8"/>
        <v>10.572199999999999</v>
      </c>
      <c r="Z13" s="860">
        <f t="shared" si="9"/>
        <v>61600</v>
      </c>
      <c r="AA13" s="860">
        <f t="shared" si="10"/>
        <v>10900</v>
      </c>
      <c r="AB13" s="860">
        <f t="shared" si="11"/>
        <v>61100</v>
      </c>
      <c r="AC13" s="860">
        <f t="shared" si="12"/>
        <v>14100</v>
      </c>
      <c r="AD13" s="860"/>
      <c r="AE13" s="860"/>
      <c r="AG13" s="860">
        <v>30800</v>
      </c>
      <c r="AH13" s="860">
        <v>5700</v>
      </c>
      <c r="AI13" s="860">
        <v>30800</v>
      </c>
      <c r="AJ13" s="860">
        <v>7300</v>
      </c>
      <c r="AK13" s="860"/>
      <c r="AL13" s="860"/>
    </row>
    <row r="14" spans="1:38" s="7" customFormat="1" ht="18.95" customHeight="1">
      <c r="A14" s="736">
        <v>4</v>
      </c>
      <c r="B14" s="737" t="s">
        <v>1171</v>
      </c>
      <c r="C14" s="863">
        <f>+('107 (a)'!G13*'107(b)'!Z14)/1000000</f>
        <v>6.6033999999999997</v>
      </c>
      <c r="D14" s="863">
        <f>+('107 (a)'!G13*'107(b)'!AA14)/1000000</f>
        <v>1.4933000000000001</v>
      </c>
      <c r="E14" s="869">
        <f t="shared" si="0"/>
        <v>8.0967000000000002</v>
      </c>
      <c r="F14" s="870">
        <f>+('107 (a)'!H13*'107(b)'!AB14)/1000000</f>
        <v>4.8879999999999999</v>
      </c>
      <c r="G14" s="870">
        <f>+('107 (a)'!H13*'107(b)'!AC14)/1000000</f>
        <v>1.1279999999999999</v>
      </c>
      <c r="H14" s="869">
        <f t="shared" si="1"/>
        <v>6.016</v>
      </c>
      <c r="I14" s="871">
        <f>+('107 (a)'!J13*100700)/1000000</f>
        <v>0.70489999999999997</v>
      </c>
      <c r="J14" s="871">
        <f>+('107 (a)'!K13*100700)/1000000</f>
        <v>1.9133</v>
      </c>
      <c r="K14" s="873">
        <f t="shared" si="2"/>
        <v>2.6181999999999999</v>
      </c>
      <c r="L14" s="874">
        <f t="shared" si="3"/>
        <v>16.730899999999998</v>
      </c>
      <c r="M14" s="604"/>
      <c r="N14" s="887">
        <f>+('107 (a)'!S13*'107 (a)'!AB13)/1000000</f>
        <v>0</v>
      </c>
      <c r="O14" s="271"/>
      <c r="P14" s="606">
        <f t="shared" si="4"/>
        <v>0</v>
      </c>
      <c r="Q14" s="606">
        <f>+('107 (a)'!T13*'107 (a)'!AC13)/1000000</f>
        <v>0</v>
      </c>
      <c r="R14" s="606"/>
      <c r="S14" s="606">
        <f t="shared" si="5"/>
        <v>0</v>
      </c>
      <c r="T14" s="271"/>
      <c r="U14" s="271"/>
      <c r="V14" s="607">
        <f t="shared" si="6"/>
        <v>0</v>
      </c>
      <c r="W14" s="608">
        <f t="shared" si="7"/>
        <v>0</v>
      </c>
      <c r="X14" s="601">
        <f t="shared" si="8"/>
        <v>16.730899999999998</v>
      </c>
      <c r="Z14" s="860">
        <f t="shared" si="9"/>
        <v>48200</v>
      </c>
      <c r="AA14" s="860">
        <f t="shared" si="10"/>
        <v>10900</v>
      </c>
      <c r="AB14" s="860">
        <f t="shared" si="11"/>
        <v>61100</v>
      </c>
      <c r="AC14" s="860">
        <f t="shared" si="12"/>
        <v>14100</v>
      </c>
      <c r="AD14" s="860"/>
      <c r="AE14" s="860"/>
      <c r="AG14" s="860">
        <v>24100</v>
      </c>
      <c r="AH14" s="860">
        <v>5700</v>
      </c>
      <c r="AI14" s="860">
        <v>30800</v>
      </c>
      <c r="AJ14" s="860">
        <v>7300</v>
      </c>
      <c r="AK14" s="860"/>
      <c r="AL14" s="860"/>
    </row>
    <row r="15" spans="1:38" s="7" customFormat="1" ht="18.95" customHeight="1">
      <c r="A15" s="736">
        <v>5</v>
      </c>
      <c r="B15" s="853" t="s">
        <v>1311</v>
      </c>
      <c r="C15" s="863">
        <f>+('107 (a)'!G14*'107(b)'!Z15)/1000000</f>
        <v>4.3380000000000001</v>
      </c>
      <c r="D15" s="863">
        <f>+('107 (a)'!G14*'107(b)'!AA15)/1000000</f>
        <v>0.98099999999999998</v>
      </c>
      <c r="E15" s="869">
        <f t="shared" si="0"/>
        <v>5.319</v>
      </c>
      <c r="F15" s="870">
        <f>+('107 (a)'!H14*'107(b)'!AB15)/1000000</f>
        <v>7.2709000000000001</v>
      </c>
      <c r="G15" s="870">
        <f>+('107 (a)'!H14*'107(b)'!AC15)/1000000</f>
        <v>1.6778999999999999</v>
      </c>
      <c r="H15" s="869">
        <f t="shared" si="1"/>
        <v>8.9488000000000003</v>
      </c>
      <c r="I15" s="871">
        <f>+('107 (a)'!J14*100700)/1000000</f>
        <v>2.3161</v>
      </c>
      <c r="J15" s="871">
        <f>+('107 (a)'!K14*100700)/1000000</f>
        <v>0.70489999999999997</v>
      </c>
      <c r="K15" s="873">
        <f t="shared" si="2"/>
        <v>3.0209999999999999</v>
      </c>
      <c r="L15" s="874">
        <f t="shared" si="3"/>
        <v>17.288800000000002</v>
      </c>
      <c r="M15" s="604"/>
      <c r="N15" s="887">
        <f>+('107 (a)'!S14*'107 (a)'!AB14)/1000000</f>
        <v>0</v>
      </c>
      <c r="O15" s="271"/>
      <c r="P15" s="606">
        <f t="shared" si="4"/>
        <v>0</v>
      </c>
      <c r="Q15" s="606">
        <f>+('107 (a)'!T14*'107 (a)'!AC14)/1000000</f>
        <v>0</v>
      </c>
      <c r="R15" s="606"/>
      <c r="S15" s="606">
        <f t="shared" si="5"/>
        <v>0</v>
      </c>
      <c r="T15" s="271"/>
      <c r="U15" s="271"/>
      <c r="V15" s="607">
        <f t="shared" si="6"/>
        <v>0</v>
      </c>
      <c r="W15" s="608">
        <f t="shared" si="7"/>
        <v>0</v>
      </c>
      <c r="X15" s="601">
        <f t="shared" si="8"/>
        <v>17.288800000000002</v>
      </c>
      <c r="Z15" s="860">
        <f t="shared" si="9"/>
        <v>48200</v>
      </c>
      <c r="AA15" s="860">
        <f t="shared" si="10"/>
        <v>10900</v>
      </c>
      <c r="AB15" s="860">
        <f t="shared" si="11"/>
        <v>61100</v>
      </c>
      <c r="AC15" s="860">
        <f t="shared" si="12"/>
        <v>14100</v>
      </c>
      <c r="AD15" s="860"/>
      <c r="AE15" s="860"/>
      <c r="AG15" s="860">
        <v>24100</v>
      </c>
      <c r="AH15" s="860">
        <v>5700</v>
      </c>
      <c r="AI15" s="860">
        <v>30800</v>
      </c>
      <c r="AJ15" s="860">
        <v>7300</v>
      </c>
      <c r="AK15" s="860"/>
      <c r="AL15" s="860"/>
    </row>
    <row r="16" spans="1:38" s="7" customFormat="1" ht="18.95" customHeight="1">
      <c r="A16" s="736">
        <v>6</v>
      </c>
      <c r="B16" s="853" t="s">
        <v>403</v>
      </c>
      <c r="C16" s="863">
        <f>+('107 (a)'!G15*'107(b)'!Z16)/1000000</f>
        <v>0</v>
      </c>
      <c r="D16" s="863">
        <f>+('107 (a)'!G15*'107(b)'!AA16)/1000000</f>
        <v>0</v>
      </c>
      <c r="E16" s="869">
        <f t="shared" si="0"/>
        <v>0</v>
      </c>
      <c r="F16" s="870">
        <f>+('107 (a)'!H15*'107(b)'!AB16)/1000000</f>
        <v>1.7719</v>
      </c>
      <c r="G16" s="870">
        <f>+('107 (a)'!H15*'107(b)'!AC16)/1000000</f>
        <v>0.40889999999999999</v>
      </c>
      <c r="H16" s="869">
        <f t="shared" si="1"/>
        <v>2.1808000000000001</v>
      </c>
      <c r="I16" s="871">
        <f>+('107 (a)'!J15*100700)/1000000</f>
        <v>3.6252</v>
      </c>
      <c r="J16" s="871">
        <f>+('107 (a)'!K15*100700)/1000000</f>
        <v>1.9133</v>
      </c>
      <c r="K16" s="873">
        <f t="shared" si="2"/>
        <v>5.5385</v>
      </c>
      <c r="L16" s="874">
        <f t="shared" si="3"/>
        <v>7.7193000000000005</v>
      </c>
      <c r="M16" s="604"/>
      <c r="N16" s="887">
        <f>+('107 (a)'!S15*'107 (a)'!AB15)/1000000</f>
        <v>0</v>
      </c>
      <c r="O16" s="271"/>
      <c r="P16" s="606">
        <f t="shared" si="4"/>
        <v>0</v>
      </c>
      <c r="Q16" s="606">
        <f>+('107 (a)'!T15*'107 (a)'!AC15)/1000000</f>
        <v>0</v>
      </c>
      <c r="R16" s="606"/>
      <c r="S16" s="606">
        <f t="shared" si="5"/>
        <v>0</v>
      </c>
      <c r="T16" s="271"/>
      <c r="U16" s="271"/>
      <c r="V16" s="607">
        <f t="shared" si="6"/>
        <v>0</v>
      </c>
      <c r="W16" s="608">
        <f t="shared" si="7"/>
        <v>0</v>
      </c>
      <c r="X16" s="601">
        <f t="shared" si="8"/>
        <v>7.7193000000000005</v>
      </c>
      <c r="Z16" s="860">
        <f t="shared" si="9"/>
        <v>48200</v>
      </c>
      <c r="AA16" s="860">
        <f t="shared" si="10"/>
        <v>10900</v>
      </c>
      <c r="AB16" s="860">
        <f t="shared" si="11"/>
        <v>61100</v>
      </c>
      <c r="AC16" s="860">
        <f t="shared" si="12"/>
        <v>14100</v>
      </c>
      <c r="AD16" s="860"/>
      <c r="AE16" s="860"/>
      <c r="AG16" s="860">
        <v>24100</v>
      </c>
      <c r="AH16" s="860">
        <v>5700</v>
      </c>
      <c r="AI16" s="860">
        <v>30800</v>
      </c>
      <c r="AJ16" s="860">
        <v>7300</v>
      </c>
      <c r="AK16" s="860"/>
      <c r="AL16" s="860"/>
    </row>
    <row r="17" spans="1:38" s="7" customFormat="1" ht="18.95" customHeight="1">
      <c r="A17" s="736">
        <v>7</v>
      </c>
      <c r="B17" s="853" t="s">
        <v>421</v>
      </c>
      <c r="C17" s="863">
        <f>+('107 (a)'!G16*'107(b)'!Z17)/1000000</f>
        <v>0</v>
      </c>
      <c r="D17" s="863">
        <f>+('107 (a)'!G16*'107(b)'!AA17)/1000000</f>
        <v>0</v>
      </c>
      <c r="E17" s="869">
        <f t="shared" si="0"/>
        <v>0</v>
      </c>
      <c r="F17" s="870">
        <f>+('107 (a)'!H16*'107(b)'!AB17)/1000000</f>
        <v>0.2228</v>
      </c>
      <c r="G17" s="870">
        <f>+('107 (a)'!H16*'107(b)'!AC17)/1000000</f>
        <v>5.6399999999999999E-2</v>
      </c>
      <c r="H17" s="869">
        <f t="shared" si="1"/>
        <v>0.2792</v>
      </c>
      <c r="I17" s="871">
        <f>+('107 (a)'!J16*100700)/1000000</f>
        <v>0.60419999999999996</v>
      </c>
      <c r="J17" s="871">
        <f>+('107 (a)'!K16*100700)/1000000</f>
        <v>0.40279999999999999</v>
      </c>
      <c r="K17" s="873">
        <f t="shared" si="2"/>
        <v>1.0069999999999999</v>
      </c>
      <c r="L17" s="874">
        <f t="shared" si="3"/>
        <v>1.2862</v>
      </c>
      <c r="M17" s="604"/>
      <c r="N17" s="887">
        <f>+('107 (a)'!S16*'107 (a)'!AB16)/1000000</f>
        <v>0</v>
      </c>
      <c r="O17" s="271"/>
      <c r="P17" s="606">
        <f t="shared" si="4"/>
        <v>0</v>
      </c>
      <c r="Q17" s="606">
        <f>+('107 (a)'!T16*'107 (a)'!AC16)/1000000</f>
        <v>0</v>
      </c>
      <c r="R17" s="606"/>
      <c r="S17" s="606">
        <f t="shared" si="5"/>
        <v>0</v>
      </c>
      <c r="T17" s="271"/>
      <c r="U17" s="271"/>
      <c r="V17" s="607">
        <f t="shared" si="6"/>
        <v>0</v>
      </c>
      <c r="W17" s="608">
        <f t="shared" si="7"/>
        <v>0</v>
      </c>
      <c r="X17" s="601">
        <f t="shared" si="8"/>
        <v>1.2862</v>
      </c>
      <c r="Z17" s="860">
        <f t="shared" si="9"/>
        <v>48200</v>
      </c>
      <c r="AA17" s="860">
        <f t="shared" si="10"/>
        <v>10900</v>
      </c>
      <c r="AB17" s="860">
        <f t="shared" si="11"/>
        <v>55700</v>
      </c>
      <c r="AC17" s="860">
        <f t="shared" si="12"/>
        <v>14100</v>
      </c>
      <c r="AD17" s="860"/>
      <c r="AE17" s="860"/>
      <c r="AG17" s="860">
        <v>24100</v>
      </c>
      <c r="AH17" s="860">
        <v>5700</v>
      </c>
      <c r="AI17" s="860">
        <v>28100</v>
      </c>
      <c r="AJ17" s="860">
        <v>7300</v>
      </c>
      <c r="AK17" s="860"/>
      <c r="AL17" s="860"/>
    </row>
    <row r="18" spans="1:38" s="7" customFormat="1" ht="18.95" customHeight="1">
      <c r="A18" s="736">
        <v>8</v>
      </c>
      <c r="B18" s="853" t="s">
        <v>419</v>
      </c>
      <c r="C18" s="863">
        <f>+('107 (a)'!G17*'107(b)'!Z18)/1000000</f>
        <v>0</v>
      </c>
      <c r="D18" s="863">
        <f>+('107 (a)'!G17*'107(b)'!AA18)/1000000</f>
        <v>0</v>
      </c>
      <c r="E18" s="869">
        <f t="shared" si="0"/>
        <v>0</v>
      </c>
      <c r="F18" s="870">
        <f>+('107 (a)'!H17*'107(b)'!AB18)/1000000</f>
        <v>1.7108000000000001</v>
      </c>
      <c r="G18" s="870">
        <f>+('107 (a)'!H17*'107(b)'!AC18)/1000000</f>
        <v>0.39479999999999998</v>
      </c>
      <c r="H18" s="869">
        <f t="shared" si="1"/>
        <v>2.1055999999999999</v>
      </c>
      <c r="I18" s="871">
        <f>+('107 (a)'!J17*100700)/1000000</f>
        <v>2.3161</v>
      </c>
      <c r="J18" s="871">
        <f>+('107 (a)'!K17*100700)/1000000</f>
        <v>3.1217000000000001</v>
      </c>
      <c r="K18" s="873">
        <f t="shared" si="2"/>
        <v>5.4378000000000002</v>
      </c>
      <c r="L18" s="874">
        <f t="shared" si="3"/>
        <v>7.5434000000000001</v>
      </c>
      <c r="M18" s="604"/>
      <c r="N18" s="887">
        <f>+('107 (a)'!S17*'107 (a)'!AB17)/1000000</f>
        <v>0</v>
      </c>
      <c r="O18" s="271"/>
      <c r="P18" s="606">
        <f t="shared" si="4"/>
        <v>0</v>
      </c>
      <c r="Q18" s="606">
        <f>+('107 (a)'!T17*'107 (a)'!AC17)/1000000</f>
        <v>0</v>
      </c>
      <c r="R18" s="606"/>
      <c r="S18" s="606">
        <f t="shared" si="5"/>
        <v>0</v>
      </c>
      <c r="T18" s="271"/>
      <c r="U18" s="271"/>
      <c r="V18" s="607">
        <f t="shared" si="6"/>
        <v>0</v>
      </c>
      <c r="W18" s="608">
        <f t="shared" si="7"/>
        <v>0</v>
      </c>
      <c r="X18" s="601">
        <f t="shared" si="8"/>
        <v>7.5434000000000001</v>
      </c>
      <c r="Z18" s="860">
        <f t="shared" si="9"/>
        <v>48200</v>
      </c>
      <c r="AA18" s="860">
        <f t="shared" si="10"/>
        <v>10900</v>
      </c>
      <c r="AB18" s="860">
        <f t="shared" si="11"/>
        <v>61100</v>
      </c>
      <c r="AC18" s="860">
        <f t="shared" si="12"/>
        <v>14100</v>
      </c>
      <c r="AD18" s="860"/>
      <c r="AE18" s="860"/>
      <c r="AG18" s="860">
        <v>24100</v>
      </c>
      <c r="AH18" s="860">
        <v>5700</v>
      </c>
      <c r="AI18" s="860">
        <v>30800</v>
      </c>
      <c r="AJ18" s="860">
        <v>7300</v>
      </c>
      <c r="AK18" s="860"/>
      <c r="AL18" s="860"/>
    </row>
    <row r="19" spans="1:38" s="7" customFormat="1" ht="18.95" customHeight="1">
      <c r="A19" s="736">
        <v>9</v>
      </c>
      <c r="B19" s="737" t="s">
        <v>1407</v>
      </c>
      <c r="C19" s="863">
        <f>+('107 (a)'!G18*'107(b)'!Z19)/1000000</f>
        <v>0</v>
      </c>
      <c r="D19" s="863">
        <f>+('107 (a)'!G18*'107(b)'!AA19)/1000000</f>
        <v>0</v>
      </c>
      <c r="E19" s="869">
        <f t="shared" si="0"/>
        <v>0</v>
      </c>
      <c r="F19" s="870">
        <f>+('107 (a)'!H18*'107(b)'!AB19)/1000000</f>
        <v>0</v>
      </c>
      <c r="G19" s="870">
        <f>+('107 (a)'!H18*'107(b)'!AC19)/1000000</f>
        <v>0</v>
      </c>
      <c r="H19" s="869">
        <f t="shared" si="1"/>
        <v>0</v>
      </c>
      <c r="I19" s="871">
        <f>+('107 (a)'!J18*100700)/1000000</f>
        <v>2.0139999999999998</v>
      </c>
      <c r="J19" s="871">
        <f>+('107 (a)'!K18*100700)/1000000</f>
        <v>0.70489999999999997</v>
      </c>
      <c r="K19" s="873">
        <f t="shared" si="2"/>
        <v>2.7188999999999997</v>
      </c>
      <c r="L19" s="874">
        <f t="shared" si="3"/>
        <v>2.7188999999999997</v>
      </c>
      <c r="M19" s="604"/>
      <c r="N19" s="887">
        <f>+('107 (a)'!S18*'107 (a)'!AB18)/1000000</f>
        <v>0</v>
      </c>
      <c r="O19" s="271"/>
      <c r="P19" s="606">
        <f t="shared" si="4"/>
        <v>0</v>
      </c>
      <c r="Q19" s="606">
        <f>+('107 (a)'!T18*'107 (a)'!AC18)/1000000</f>
        <v>0</v>
      </c>
      <c r="R19" s="606"/>
      <c r="S19" s="606">
        <f t="shared" si="5"/>
        <v>0</v>
      </c>
      <c r="T19" s="271"/>
      <c r="U19" s="271"/>
      <c r="V19" s="607">
        <f t="shared" si="6"/>
        <v>0</v>
      </c>
      <c r="W19" s="608">
        <f t="shared" si="7"/>
        <v>0</v>
      </c>
      <c r="X19" s="601">
        <f t="shared" si="8"/>
        <v>2.7188999999999997</v>
      </c>
      <c r="Z19" s="860">
        <f t="shared" si="9"/>
        <v>48200</v>
      </c>
      <c r="AA19" s="860">
        <f t="shared" si="10"/>
        <v>10900</v>
      </c>
      <c r="AB19" s="860">
        <f t="shared" si="11"/>
        <v>61100</v>
      </c>
      <c r="AC19" s="860">
        <f t="shared" si="12"/>
        <v>14100</v>
      </c>
      <c r="AD19" s="860"/>
      <c r="AE19" s="860"/>
      <c r="AG19" s="860">
        <v>24100</v>
      </c>
      <c r="AH19" s="860">
        <v>5700</v>
      </c>
      <c r="AI19" s="860">
        <v>30800</v>
      </c>
      <c r="AJ19" s="860">
        <v>7300</v>
      </c>
      <c r="AK19" s="860"/>
      <c r="AL19" s="860"/>
    </row>
    <row r="20" spans="1:38" s="7" customFormat="1" ht="18.95" customHeight="1">
      <c r="A20" s="736">
        <v>10</v>
      </c>
      <c r="B20" s="853" t="s">
        <v>394</v>
      </c>
      <c r="C20" s="863">
        <f>+('107 (a)'!G19*'107(b)'!Z20)/1000000</f>
        <v>0</v>
      </c>
      <c r="D20" s="863">
        <f>+('107 (a)'!G19*'107(b)'!AA20)/1000000</f>
        <v>0</v>
      </c>
      <c r="E20" s="869">
        <f t="shared" si="0"/>
        <v>0</v>
      </c>
      <c r="F20" s="870">
        <f>+('107 (a)'!H19*'107(b)'!AB20)/1000000</f>
        <v>0</v>
      </c>
      <c r="G20" s="870">
        <f>+('107 (a)'!H19*'107(b)'!AC20)/1000000</f>
        <v>0</v>
      </c>
      <c r="H20" s="869">
        <f t="shared" si="1"/>
        <v>0</v>
      </c>
      <c r="I20" s="871">
        <f>+('107 (a)'!J19*100700)/1000000</f>
        <v>0</v>
      </c>
      <c r="J20" s="271"/>
      <c r="K20" s="873">
        <f t="shared" si="2"/>
        <v>0</v>
      </c>
      <c r="L20" s="874">
        <f t="shared" si="3"/>
        <v>0</v>
      </c>
      <c r="M20" s="604"/>
      <c r="N20" s="271"/>
      <c r="O20" s="271"/>
      <c r="P20" s="606">
        <f t="shared" si="4"/>
        <v>0</v>
      </c>
      <c r="Q20" s="606">
        <f>+('107 (a)'!T19*'107 (a)'!AC19)/1000000</f>
        <v>0</v>
      </c>
      <c r="R20" s="606"/>
      <c r="S20" s="606">
        <f t="shared" si="5"/>
        <v>0</v>
      </c>
      <c r="T20" s="271"/>
      <c r="U20" s="271"/>
      <c r="V20" s="607">
        <f t="shared" si="6"/>
        <v>0</v>
      </c>
      <c r="W20" s="608">
        <f t="shared" si="7"/>
        <v>0</v>
      </c>
      <c r="X20" s="601">
        <f t="shared" si="8"/>
        <v>0</v>
      </c>
      <c r="Z20" s="860">
        <f t="shared" si="9"/>
        <v>48200</v>
      </c>
      <c r="AA20" s="860">
        <f t="shared" si="10"/>
        <v>10900</v>
      </c>
      <c r="AB20" s="860">
        <f t="shared" si="11"/>
        <v>61100</v>
      </c>
      <c r="AC20" s="860">
        <f t="shared" si="12"/>
        <v>14100</v>
      </c>
      <c r="AD20" s="860"/>
      <c r="AE20" s="860"/>
      <c r="AG20" s="860">
        <v>24100</v>
      </c>
      <c r="AH20" s="860">
        <v>5700</v>
      </c>
      <c r="AI20" s="860">
        <v>30800</v>
      </c>
      <c r="AJ20" s="860">
        <v>7300</v>
      </c>
      <c r="AK20" s="860"/>
      <c r="AL20" s="860"/>
    </row>
    <row r="21" spans="1:38" ht="20.100000000000001" customHeight="1">
      <c r="A21" s="1583" t="s">
        <v>752</v>
      </c>
      <c r="B21" s="1583"/>
      <c r="C21" s="865">
        <f t="shared" ref="C21:L21" si="13">SUM(C11:C20)</f>
        <v>26.0334</v>
      </c>
      <c r="D21" s="865">
        <f t="shared" si="13"/>
        <v>5.1448</v>
      </c>
      <c r="E21" s="865">
        <f t="shared" si="13"/>
        <v>31.1782</v>
      </c>
      <c r="F21" s="865">
        <f t="shared" si="13"/>
        <v>24.356299999999997</v>
      </c>
      <c r="G21" s="865">
        <f t="shared" si="13"/>
        <v>5.3720999999999997</v>
      </c>
      <c r="H21" s="865">
        <f t="shared" si="13"/>
        <v>29.728399999999997</v>
      </c>
      <c r="I21" s="867">
        <f t="shared" si="13"/>
        <v>16.313400000000001</v>
      </c>
      <c r="J21" s="867">
        <f t="shared" si="13"/>
        <v>10.774900000000001</v>
      </c>
      <c r="K21" s="868">
        <f t="shared" si="13"/>
        <v>27.088299999999997</v>
      </c>
      <c r="L21" s="865">
        <f t="shared" si="13"/>
        <v>87.994900000000001</v>
      </c>
      <c r="M21" s="604"/>
      <c r="N21" s="864">
        <f t="shared" ref="N21:W21" si="14">SUM(N11:N20)</f>
        <v>14.1615</v>
      </c>
      <c r="O21" s="560">
        <f t="shared" si="14"/>
        <v>0</v>
      </c>
      <c r="P21" s="864">
        <f t="shared" si="14"/>
        <v>14.1615</v>
      </c>
      <c r="Q21" s="560">
        <f t="shared" si="14"/>
        <v>0</v>
      </c>
      <c r="R21" s="560">
        <f t="shared" si="14"/>
        <v>0</v>
      </c>
      <c r="S21" s="560">
        <f t="shared" si="14"/>
        <v>0</v>
      </c>
      <c r="T21" s="560">
        <f t="shared" si="14"/>
        <v>0</v>
      </c>
      <c r="U21" s="560">
        <f t="shared" si="14"/>
        <v>0</v>
      </c>
      <c r="V21" s="575">
        <f t="shared" si="14"/>
        <v>0</v>
      </c>
      <c r="W21" s="560">
        <f t="shared" si="14"/>
        <v>14.1615</v>
      </c>
      <c r="X21" s="601">
        <f t="shared" ref="X21:X97" si="15">W21+L21</f>
        <v>102.1564</v>
      </c>
      <c r="AG21" s="857"/>
      <c r="AH21" s="857"/>
      <c r="AI21" s="857"/>
      <c r="AJ21" s="857"/>
      <c r="AK21" s="857"/>
      <c r="AL21" s="857"/>
    </row>
    <row r="22" spans="1:38" ht="15" customHeight="1">
      <c r="A22" s="1581" t="s">
        <v>145</v>
      </c>
      <c r="B22" s="1581"/>
      <c r="C22" s="1581"/>
      <c r="D22" s="1581"/>
      <c r="E22" s="1581"/>
      <c r="F22" s="1581"/>
      <c r="G22" s="1581"/>
      <c r="H22" s="1581"/>
      <c r="I22" s="1581"/>
      <c r="J22" s="1581"/>
      <c r="K22" s="1581"/>
      <c r="L22" s="1581"/>
      <c r="M22" s="604"/>
      <c r="N22" s="609"/>
      <c r="O22" s="609"/>
      <c r="P22" s="609"/>
      <c r="Q22" s="609"/>
      <c r="R22" s="609"/>
      <c r="S22" s="609"/>
      <c r="T22" s="609"/>
      <c r="U22" s="609"/>
      <c r="V22" s="609"/>
      <c r="W22" s="609"/>
      <c r="X22" s="600"/>
      <c r="AG22" s="857"/>
      <c r="AH22" s="857"/>
      <c r="AI22" s="857"/>
      <c r="AJ22" s="857"/>
      <c r="AK22" s="857"/>
      <c r="AL22" s="857"/>
    </row>
    <row r="23" spans="1:38" s="7" customFormat="1" ht="18.95" customHeight="1">
      <c r="A23" s="240">
        <v>1</v>
      </c>
      <c r="B23" s="854" t="s">
        <v>1315</v>
      </c>
      <c r="C23" s="862">
        <f>+('107 (a)'!G22*'107(b)'!Z23)/1000000</f>
        <v>8.4749999999999996</v>
      </c>
      <c r="D23" s="862">
        <f>+('107 (a)'!G22*'107(b)'!AA23)/1000000</f>
        <v>1.5932999999999999</v>
      </c>
      <c r="E23" s="869">
        <f>C23+D23</f>
        <v>10.068299999999999</v>
      </c>
      <c r="F23" s="869">
        <f>+('107 (a)'!H22*'107(b)'!AB23)/1000000</f>
        <v>0</v>
      </c>
      <c r="G23" s="869">
        <f>+('107 (a)'!H22*'107(b)'!AC23)/1000000</f>
        <v>0</v>
      </c>
      <c r="H23" s="869">
        <f>F23+G23</f>
        <v>0</v>
      </c>
      <c r="I23" s="862">
        <f>+('107 (a)'!J22*100700)/1000000</f>
        <v>1.2083999999999999</v>
      </c>
      <c r="J23" s="862">
        <f>+('107 (a)'!K22*100700)/1000000</f>
        <v>1.0069999999999999</v>
      </c>
      <c r="K23" s="873">
        <f>I23+J23</f>
        <v>2.2153999999999998</v>
      </c>
      <c r="L23" s="874">
        <f>E23+K23+H23</f>
        <v>12.2837</v>
      </c>
      <c r="M23" s="604"/>
      <c r="N23" s="887">
        <f>+('107 (a)'!S22*'107 (a)'!AB22)/1000000</f>
        <v>0</v>
      </c>
      <c r="O23" s="271"/>
      <c r="P23" s="606">
        <f>N23+O23</f>
        <v>0</v>
      </c>
      <c r="Q23" s="606">
        <f>+('107 (a)'!T22*'107 (a)'!AC22)/1000000</f>
        <v>0</v>
      </c>
      <c r="R23" s="606"/>
      <c r="S23" s="606">
        <f>Q23+R23</f>
        <v>0</v>
      </c>
      <c r="T23" s="271"/>
      <c r="U23" s="271"/>
      <c r="V23" s="607">
        <f>T23+U23</f>
        <v>0</v>
      </c>
      <c r="W23" s="608">
        <f>P23+V23+S23</f>
        <v>0</v>
      </c>
      <c r="X23" s="601">
        <f t="shared" si="15"/>
        <v>12.2837</v>
      </c>
      <c r="Z23" s="860">
        <f t="shared" ref="Z23:Z35" si="16">SUM(AG23*2)</f>
        <v>75000</v>
      </c>
      <c r="AA23" s="860">
        <f t="shared" ref="AA23:AA35" si="17">SUM(AH23*2)-500</f>
        <v>14100</v>
      </c>
      <c r="AB23" s="860"/>
      <c r="AC23" s="860"/>
      <c r="AD23" s="860"/>
      <c r="AE23" s="860"/>
      <c r="AG23" s="860">
        <v>37500</v>
      </c>
      <c r="AH23" s="860">
        <v>7300</v>
      </c>
      <c r="AI23" s="860"/>
      <c r="AJ23" s="860"/>
      <c r="AK23" s="860"/>
      <c r="AL23" s="860"/>
    </row>
    <row r="24" spans="1:38" s="7" customFormat="1" ht="18">
      <c r="A24" s="572">
        <v>2</v>
      </c>
      <c r="B24" s="854" t="s">
        <v>383</v>
      </c>
      <c r="C24" s="862">
        <f>+('107 (a)'!G23*'107(b)'!Z24)/1000000</f>
        <v>13.275</v>
      </c>
      <c r="D24" s="862">
        <f>+('107 (a)'!G23*'107(b)'!AA24)/1000000</f>
        <v>2.4525000000000001</v>
      </c>
      <c r="E24" s="869">
        <f t="shared" ref="E24:E35" si="18">C24+D24</f>
        <v>15.727500000000001</v>
      </c>
      <c r="F24" s="869">
        <f>+('107 (a)'!H23*'107(b)'!AB24)/1000000</f>
        <v>9.0145</v>
      </c>
      <c r="G24" s="869">
        <f>+('107 (a)'!H23*'107(b)'!AC24)/1000000</f>
        <v>1.7060999999999999</v>
      </c>
      <c r="H24" s="869">
        <f t="shared" ref="H24:H35" si="19">F24+G24</f>
        <v>10.720599999999999</v>
      </c>
      <c r="I24" s="862">
        <f>+('107 (a)'!J23*100700)/1000000</f>
        <v>2.2153999999999998</v>
      </c>
      <c r="J24" s="862">
        <f>+('107 (a)'!K23*100700)/1000000</f>
        <v>1.2083999999999999</v>
      </c>
      <c r="K24" s="873">
        <f t="shared" ref="K24:K35" si="20">I24+J24</f>
        <v>3.4238</v>
      </c>
      <c r="L24" s="874">
        <f t="shared" ref="L24:L35" si="21">E24+K24+H24</f>
        <v>29.871899999999997</v>
      </c>
      <c r="M24" s="604"/>
      <c r="N24" s="887">
        <f>+('107 (a)'!S23*'107 (a)'!AB23)/1000000</f>
        <v>18.984100000000002</v>
      </c>
      <c r="O24" s="887"/>
      <c r="P24" s="888">
        <f t="shared" ref="P24:P35" si="22">N24+O24</f>
        <v>18.984100000000002</v>
      </c>
      <c r="Q24" s="606">
        <f>+('107 (a)'!T23*'107 (a)'!AC23)/1000000</f>
        <v>0</v>
      </c>
      <c r="R24" s="606"/>
      <c r="S24" s="606">
        <f t="shared" ref="S24:S35" si="23">Q24+R24</f>
        <v>0</v>
      </c>
      <c r="T24" s="271"/>
      <c r="U24" s="271"/>
      <c r="V24" s="607">
        <f t="shared" ref="V24:V35" si="24">T24+U24</f>
        <v>0</v>
      </c>
      <c r="W24" s="608">
        <f t="shared" ref="W24:W35" si="25">P24+V24+S24</f>
        <v>18.984100000000002</v>
      </c>
      <c r="X24" s="601">
        <f t="shared" ref="X24:X35" si="26">W24+L24</f>
        <v>48.855999999999995</v>
      </c>
      <c r="Z24" s="860">
        <f t="shared" si="16"/>
        <v>59000</v>
      </c>
      <c r="AA24" s="860">
        <f t="shared" si="17"/>
        <v>10900</v>
      </c>
      <c r="AB24" s="860">
        <f t="shared" ref="AB24:AB34" si="27">SUM(AI24*2)-500</f>
        <v>74500</v>
      </c>
      <c r="AC24" s="860">
        <f t="shared" ref="AC24:AC34" si="28">SUM(AJ24*2)-500</f>
        <v>14100</v>
      </c>
      <c r="AD24" s="860"/>
      <c r="AE24" s="860"/>
      <c r="AG24" s="860">
        <v>29500</v>
      </c>
      <c r="AH24" s="860">
        <v>5700</v>
      </c>
      <c r="AI24" s="860">
        <v>37500</v>
      </c>
      <c r="AJ24" s="860">
        <v>7300</v>
      </c>
      <c r="AK24" s="860"/>
      <c r="AL24" s="860"/>
    </row>
    <row r="25" spans="1:38" s="7" customFormat="1" ht="18.95" customHeight="1">
      <c r="A25" s="240">
        <v>3</v>
      </c>
      <c r="B25" s="854" t="s">
        <v>379</v>
      </c>
      <c r="C25" s="862">
        <f>+('107 (a)'!G24*'107(b)'!Z25)/1000000</f>
        <v>4.0119999999999996</v>
      </c>
      <c r="D25" s="862">
        <f>+('107 (a)'!G24*'107(b)'!AA25)/1000000</f>
        <v>0.74119999999999997</v>
      </c>
      <c r="E25" s="869">
        <f t="shared" si="18"/>
        <v>4.7531999999999996</v>
      </c>
      <c r="F25" s="869">
        <f>+('107 (a)'!H24*'107(b)'!AB25)/1000000</f>
        <v>1.0640000000000001</v>
      </c>
      <c r="G25" s="869">
        <f>+('107 (a)'!H24*'107(b)'!AC25)/1000000</f>
        <v>0.22559999999999999</v>
      </c>
      <c r="H25" s="869">
        <f t="shared" si="19"/>
        <v>1.2896000000000001</v>
      </c>
      <c r="I25" s="862">
        <f>+('107 (a)'!J24*100700)/1000000</f>
        <v>0.80559999999999998</v>
      </c>
      <c r="J25" s="862">
        <f>+('107 (a)'!K24*100700)/1000000</f>
        <v>0</v>
      </c>
      <c r="K25" s="873">
        <f t="shared" si="20"/>
        <v>0.80559999999999998</v>
      </c>
      <c r="L25" s="874">
        <f t="shared" si="21"/>
        <v>6.8483999999999998</v>
      </c>
      <c r="M25" s="604"/>
      <c r="N25" s="887">
        <f>+('107 (a)'!S24*'107 (a)'!AB24)/1000000</f>
        <v>0.41449999999999998</v>
      </c>
      <c r="O25" s="271"/>
      <c r="P25" s="888">
        <f t="shared" si="22"/>
        <v>0.41449999999999998</v>
      </c>
      <c r="Q25" s="606">
        <f>+('107 (a)'!T24*'107 (a)'!AC24)/1000000</f>
        <v>0</v>
      </c>
      <c r="R25" s="606"/>
      <c r="S25" s="606">
        <f t="shared" si="23"/>
        <v>0</v>
      </c>
      <c r="T25" s="271"/>
      <c r="U25" s="271"/>
      <c r="V25" s="607">
        <f t="shared" si="24"/>
        <v>0</v>
      </c>
      <c r="W25" s="608">
        <f t="shared" si="25"/>
        <v>0.41449999999999998</v>
      </c>
      <c r="X25" s="601">
        <f t="shared" si="26"/>
        <v>7.2629000000000001</v>
      </c>
      <c r="Z25" s="860">
        <f t="shared" si="16"/>
        <v>59000</v>
      </c>
      <c r="AA25" s="860">
        <f t="shared" si="17"/>
        <v>10900</v>
      </c>
      <c r="AB25" s="860">
        <f t="shared" si="27"/>
        <v>66500</v>
      </c>
      <c r="AC25" s="860">
        <f t="shared" si="28"/>
        <v>14100</v>
      </c>
      <c r="AD25" s="860"/>
      <c r="AE25" s="860"/>
      <c r="AG25" s="860">
        <v>29500</v>
      </c>
      <c r="AH25" s="860">
        <v>5700</v>
      </c>
      <c r="AI25" s="860">
        <v>33500</v>
      </c>
      <c r="AJ25" s="860">
        <v>7300</v>
      </c>
      <c r="AK25" s="860"/>
      <c r="AL25" s="860"/>
    </row>
    <row r="26" spans="1:38" s="7" customFormat="1" ht="18.95" customHeight="1">
      <c r="A26" s="572">
        <v>4</v>
      </c>
      <c r="B26" s="854" t="s">
        <v>390</v>
      </c>
      <c r="C26" s="862">
        <f>+('107 (a)'!G25*'107(b)'!Z26)/1000000</f>
        <v>11.5192</v>
      </c>
      <c r="D26" s="862">
        <f>+('107 (a)'!G25*'107(b)'!AA26)/1000000</f>
        <v>2.0383</v>
      </c>
      <c r="E26" s="869">
        <f t="shared" si="18"/>
        <v>13.557499999999999</v>
      </c>
      <c r="F26" s="869">
        <f>+('107 (a)'!H25*'107(b)'!AB26)/1000000</f>
        <v>9.8339999999999996</v>
      </c>
      <c r="G26" s="869">
        <f>+('107 (a)'!H25*'107(b)'!AC26)/1000000</f>
        <v>1.8612</v>
      </c>
      <c r="H26" s="869">
        <f t="shared" si="19"/>
        <v>11.6952</v>
      </c>
      <c r="I26" s="862">
        <f>+('107 (a)'!J25*100700)/1000000</f>
        <v>9.0630000000000006</v>
      </c>
      <c r="J26" s="862">
        <f>+('107 (a)'!K25*100700)/1000000</f>
        <v>0</v>
      </c>
      <c r="K26" s="873">
        <f t="shared" si="20"/>
        <v>9.0630000000000006</v>
      </c>
      <c r="L26" s="874">
        <f t="shared" si="21"/>
        <v>34.3157</v>
      </c>
      <c r="M26" s="604"/>
      <c r="N26" s="887">
        <f>+('107 (a)'!S25*'107 (a)'!AB25)/1000000</f>
        <v>24.538399999999999</v>
      </c>
      <c r="O26" s="271"/>
      <c r="P26" s="888">
        <f t="shared" si="22"/>
        <v>24.538399999999999</v>
      </c>
      <c r="Q26" s="888">
        <f>+('107 (a)'!T25*'107 (a)'!AC25)/1000000</f>
        <v>5.8680000000000003</v>
      </c>
      <c r="R26" s="888"/>
      <c r="S26" s="888">
        <f t="shared" si="23"/>
        <v>5.8680000000000003</v>
      </c>
      <c r="T26" s="271"/>
      <c r="U26" s="271"/>
      <c r="V26" s="607">
        <f t="shared" si="24"/>
        <v>0</v>
      </c>
      <c r="W26" s="608">
        <f t="shared" si="25"/>
        <v>30.406399999999998</v>
      </c>
      <c r="X26" s="601">
        <f t="shared" si="26"/>
        <v>64.722099999999998</v>
      </c>
      <c r="Z26" s="860">
        <f t="shared" si="16"/>
        <v>61600</v>
      </c>
      <c r="AA26" s="860">
        <f t="shared" si="17"/>
        <v>10900</v>
      </c>
      <c r="AB26" s="860">
        <f t="shared" si="27"/>
        <v>74500</v>
      </c>
      <c r="AC26" s="860">
        <f t="shared" si="28"/>
        <v>14100</v>
      </c>
      <c r="AD26" s="860"/>
      <c r="AE26" s="860"/>
      <c r="AG26" s="860">
        <v>30800</v>
      </c>
      <c r="AH26" s="860">
        <v>5700</v>
      </c>
      <c r="AI26" s="860">
        <v>37500</v>
      </c>
      <c r="AJ26" s="860">
        <v>7300</v>
      </c>
      <c r="AK26" s="860"/>
      <c r="AL26" s="860"/>
    </row>
    <row r="27" spans="1:38" s="7" customFormat="1" ht="18.95" customHeight="1">
      <c r="A27" s="240">
        <v>5</v>
      </c>
      <c r="B27" s="854" t="s">
        <v>391</v>
      </c>
      <c r="C27" s="862">
        <f>+('107 (a)'!G26*'107(b)'!Z27)/1000000</f>
        <v>12.012</v>
      </c>
      <c r="D27" s="862">
        <f>+('107 (a)'!G26*'107(b)'!AA27)/1000000</f>
        <v>2.1255000000000002</v>
      </c>
      <c r="E27" s="869">
        <f t="shared" si="18"/>
        <v>14.137500000000001</v>
      </c>
      <c r="F27" s="869">
        <f>+('107 (a)'!H26*'107(b)'!AB27)/1000000</f>
        <v>3.3605</v>
      </c>
      <c r="G27" s="869">
        <f>+('107 (a)'!H26*'107(b)'!AC27)/1000000</f>
        <v>0.59950000000000003</v>
      </c>
      <c r="H27" s="869">
        <f t="shared" si="19"/>
        <v>3.96</v>
      </c>
      <c r="I27" s="862">
        <f>+('107 (a)'!J26*100700)/1000000</f>
        <v>3.2223999999999999</v>
      </c>
      <c r="J27" s="862">
        <f>+('107 (a)'!K26*100700)/1000000</f>
        <v>0.70489999999999997</v>
      </c>
      <c r="K27" s="873">
        <f t="shared" si="20"/>
        <v>3.9272999999999998</v>
      </c>
      <c r="L27" s="874">
        <f t="shared" si="21"/>
        <v>22.024800000000003</v>
      </c>
      <c r="M27" s="604"/>
      <c r="N27" s="887">
        <f>+('107 (a)'!S26*'107 (a)'!AB26)/1000000</f>
        <v>0</v>
      </c>
      <c r="O27" s="271"/>
      <c r="P27" s="888">
        <f t="shared" si="22"/>
        <v>0</v>
      </c>
      <c r="Q27" s="888">
        <f>+('107 (a)'!T26*'107 (a)'!AC26)/1000000</f>
        <v>0</v>
      </c>
      <c r="R27" s="888"/>
      <c r="S27" s="888">
        <f t="shared" si="23"/>
        <v>0</v>
      </c>
      <c r="T27" s="271"/>
      <c r="U27" s="271"/>
      <c r="V27" s="607">
        <f t="shared" si="24"/>
        <v>0</v>
      </c>
      <c r="W27" s="608">
        <f t="shared" si="25"/>
        <v>0</v>
      </c>
      <c r="X27" s="601">
        <f t="shared" si="26"/>
        <v>22.024800000000003</v>
      </c>
      <c r="Z27" s="860">
        <f t="shared" si="16"/>
        <v>61600</v>
      </c>
      <c r="AA27" s="860">
        <f t="shared" si="17"/>
        <v>10900</v>
      </c>
      <c r="AB27" s="860">
        <f t="shared" si="27"/>
        <v>61100</v>
      </c>
      <c r="AC27" s="860">
        <f t="shared" si="28"/>
        <v>10900</v>
      </c>
      <c r="AD27" s="860"/>
      <c r="AE27" s="860"/>
      <c r="AG27" s="860">
        <v>30800</v>
      </c>
      <c r="AH27" s="860">
        <v>5700</v>
      </c>
      <c r="AI27" s="860">
        <v>30800</v>
      </c>
      <c r="AJ27" s="860">
        <v>5700</v>
      </c>
      <c r="AK27" s="860"/>
      <c r="AL27" s="860"/>
    </row>
    <row r="28" spans="1:38" s="7" customFormat="1" ht="18.95" customHeight="1">
      <c r="A28" s="572">
        <v>6</v>
      </c>
      <c r="B28" s="854" t="s">
        <v>1122</v>
      </c>
      <c r="C28" s="862">
        <f>+('107 (a)'!G27*'107(b)'!Z28)/1000000</f>
        <v>2.5255999999999998</v>
      </c>
      <c r="D28" s="862">
        <f>+('107 (a)'!G27*'107(b)'!AA28)/1000000</f>
        <v>0.44690000000000002</v>
      </c>
      <c r="E28" s="869">
        <f t="shared" si="18"/>
        <v>2.9724999999999997</v>
      </c>
      <c r="F28" s="869">
        <f>+('107 (a)'!H27*'107(b)'!AB28)/1000000</f>
        <v>0.745</v>
      </c>
      <c r="G28" s="869">
        <f>+('107 (a)'!H27*'107(b)'!AC28)/1000000</f>
        <v>0.14099999999999999</v>
      </c>
      <c r="H28" s="869">
        <f t="shared" si="19"/>
        <v>0.88600000000000001</v>
      </c>
      <c r="I28" s="862">
        <f>+('107 (a)'!J27*100700)/1000000</f>
        <v>0.2014</v>
      </c>
      <c r="J28" s="862">
        <f>+('107 (a)'!K27*100700)/1000000</f>
        <v>0</v>
      </c>
      <c r="K28" s="873">
        <f t="shared" si="20"/>
        <v>0.2014</v>
      </c>
      <c r="L28" s="874">
        <f t="shared" si="21"/>
        <v>4.0598999999999998</v>
      </c>
      <c r="M28" s="604"/>
      <c r="N28" s="887">
        <f>+('107 (a)'!S27*'107 (a)'!AB27)/1000000</f>
        <v>0</v>
      </c>
      <c r="O28" s="271"/>
      <c r="P28" s="888">
        <f t="shared" si="22"/>
        <v>0</v>
      </c>
      <c r="Q28" s="888">
        <f>+('107 (a)'!T27*'107 (a)'!AC27)/1000000</f>
        <v>0</v>
      </c>
      <c r="R28" s="888"/>
      <c r="S28" s="888">
        <f t="shared" si="23"/>
        <v>0</v>
      </c>
      <c r="T28" s="271"/>
      <c r="U28" s="271"/>
      <c r="V28" s="607">
        <f t="shared" si="24"/>
        <v>0</v>
      </c>
      <c r="W28" s="608">
        <f t="shared" si="25"/>
        <v>0</v>
      </c>
      <c r="X28" s="601">
        <f t="shared" si="26"/>
        <v>4.0598999999999998</v>
      </c>
      <c r="Z28" s="860">
        <f t="shared" si="16"/>
        <v>61600</v>
      </c>
      <c r="AA28" s="860">
        <f t="shared" si="17"/>
        <v>10900</v>
      </c>
      <c r="AB28" s="860">
        <f t="shared" si="27"/>
        <v>74500</v>
      </c>
      <c r="AC28" s="860">
        <f t="shared" si="28"/>
        <v>14100</v>
      </c>
      <c r="AD28" s="860"/>
      <c r="AE28" s="860"/>
      <c r="AG28" s="860">
        <v>30800</v>
      </c>
      <c r="AH28" s="860">
        <v>5700</v>
      </c>
      <c r="AI28" s="860">
        <v>37500</v>
      </c>
      <c r="AJ28" s="860">
        <v>7300</v>
      </c>
      <c r="AK28" s="860"/>
      <c r="AL28" s="860"/>
    </row>
    <row r="29" spans="1:38" s="7" customFormat="1" ht="18.95" customHeight="1">
      <c r="A29" s="240">
        <v>7</v>
      </c>
      <c r="B29" s="854" t="s">
        <v>1316</v>
      </c>
      <c r="C29" s="862">
        <f>+('107 (a)'!G28*'107(b)'!Z29)/1000000</f>
        <v>8.673</v>
      </c>
      <c r="D29" s="862">
        <f>+('107 (a)'!G28*'107(b)'!AA29)/1000000</f>
        <v>1.6023000000000001</v>
      </c>
      <c r="E29" s="869">
        <f t="shared" si="18"/>
        <v>10.2753</v>
      </c>
      <c r="F29" s="869">
        <f>+('107 (a)'!H28*'107(b)'!AB29)/1000000</f>
        <v>6.7830000000000004</v>
      </c>
      <c r="G29" s="869">
        <f>+('107 (a)'!H28*'107(b)'!AC29)/1000000</f>
        <v>1.4381999999999999</v>
      </c>
      <c r="H29" s="869">
        <f t="shared" si="19"/>
        <v>8.2211999999999996</v>
      </c>
      <c r="I29" s="862">
        <f>+('107 (a)'!J28*100700)/1000000</f>
        <v>5.4378000000000002</v>
      </c>
      <c r="J29" s="862">
        <f>+('107 (a)'!K28*100700)/1000000</f>
        <v>2.3161</v>
      </c>
      <c r="K29" s="873">
        <f t="shared" si="20"/>
        <v>7.7538999999999998</v>
      </c>
      <c r="L29" s="874">
        <f t="shared" si="21"/>
        <v>26.250399999999999</v>
      </c>
      <c r="M29" s="604"/>
      <c r="N29" s="887">
        <f>+('107 (a)'!S28*'107 (a)'!AB28)/1000000</f>
        <v>7.2122999999999999</v>
      </c>
      <c r="O29" s="271"/>
      <c r="P29" s="888">
        <f t="shared" si="22"/>
        <v>7.2122999999999999</v>
      </c>
      <c r="Q29" s="888">
        <f>+('107 (a)'!T28*'107 (a)'!AC28)/1000000</f>
        <v>0</v>
      </c>
      <c r="R29" s="888"/>
      <c r="S29" s="888">
        <f t="shared" si="23"/>
        <v>0</v>
      </c>
      <c r="T29" s="271"/>
      <c r="U29" s="271"/>
      <c r="V29" s="607">
        <f t="shared" si="24"/>
        <v>0</v>
      </c>
      <c r="W29" s="608">
        <f t="shared" si="25"/>
        <v>7.2122999999999999</v>
      </c>
      <c r="X29" s="601">
        <f t="shared" si="26"/>
        <v>33.462699999999998</v>
      </c>
      <c r="Z29" s="860">
        <f t="shared" si="16"/>
        <v>59000</v>
      </c>
      <c r="AA29" s="860">
        <f t="shared" si="17"/>
        <v>10900</v>
      </c>
      <c r="AB29" s="860">
        <f t="shared" si="27"/>
        <v>66500</v>
      </c>
      <c r="AC29" s="860">
        <f t="shared" si="28"/>
        <v>14100</v>
      </c>
      <c r="AD29" s="860"/>
      <c r="AE29" s="860"/>
      <c r="AG29" s="860">
        <v>29500</v>
      </c>
      <c r="AH29" s="860">
        <v>5700</v>
      </c>
      <c r="AI29" s="860">
        <v>33500</v>
      </c>
      <c r="AJ29" s="860">
        <v>7300</v>
      </c>
      <c r="AK29" s="860"/>
      <c r="AL29" s="860"/>
    </row>
    <row r="30" spans="1:38" s="7" customFormat="1" ht="18.95" customHeight="1">
      <c r="A30" s="572">
        <v>8</v>
      </c>
      <c r="B30" s="854" t="s">
        <v>396</v>
      </c>
      <c r="C30" s="862">
        <f>+('107 (a)'!G29*'107(b)'!Z30)/1000000</f>
        <v>11.5192</v>
      </c>
      <c r="D30" s="862">
        <f>+('107 (a)'!G29*'107(b)'!AA30)/1000000</f>
        <v>2.0383</v>
      </c>
      <c r="E30" s="869">
        <f t="shared" si="18"/>
        <v>13.557499999999999</v>
      </c>
      <c r="F30" s="869">
        <f>+('107 (a)'!H29*'107(b)'!AB30)/1000000</f>
        <v>5.7190000000000003</v>
      </c>
      <c r="G30" s="869">
        <f>+('107 (a)'!H29*'107(b)'!AC30)/1000000</f>
        <v>1.2125999999999999</v>
      </c>
      <c r="H30" s="869">
        <f t="shared" si="19"/>
        <v>6.9316000000000004</v>
      </c>
      <c r="I30" s="862">
        <f>+('107 (a)'!J29*100700)/1000000</f>
        <v>4.6322000000000001</v>
      </c>
      <c r="J30" s="862">
        <f>+('107 (a)'!K29*100700)/1000000</f>
        <v>2.9203000000000001</v>
      </c>
      <c r="K30" s="873">
        <f t="shared" si="20"/>
        <v>7.5525000000000002</v>
      </c>
      <c r="L30" s="874">
        <f t="shared" si="21"/>
        <v>28.041599999999999</v>
      </c>
      <c r="M30" s="604"/>
      <c r="N30" s="887">
        <f>+('107 (a)'!S29*'107 (a)'!AB29)/1000000</f>
        <v>8.6216000000000008</v>
      </c>
      <c r="O30" s="271"/>
      <c r="P30" s="888">
        <f t="shared" si="22"/>
        <v>8.6216000000000008</v>
      </c>
      <c r="Q30" s="888">
        <f>+('107 (a)'!T29*'107 (a)'!AC29)/1000000</f>
        <v>0</v>
      </c>
      <c r="R30" s="888"/>
      <c r="S30" s="888">
        <f t="shared" si="23"/>
        <v>0</v>
      </c>
      <c r="T30" s="271"/>
      <c r="U30" s="271"/>
      <c r="V30" s="607">
        <f t="shared" si="24"/>
        <v>0</v>
      </c>
      <c r="W30" s="608">
        <f t="shared" si="25"/>
        <v>8.6216000000000008</v>
      </c>
      <c r="X30" s="601">
        <f t="shared" si="26"/>
        <v>36.663200000000003</v>
      </c>
      <c r="Z30" s="860">
        <f t="shared" si="16"/>
        <v>61600</v>
      </c>
      <c r="AA30" s="860">
        <f t="shared" si="17"/>
        <v>10900</v>
      </c>
      <c r="AB30" s="860">
        <f t="shared" si="27"/>
        <v>66500</v>
      </c>
      <c r="AC30" s="860">
        <f t="shared" si="28"/>
        <v>14100</v>
      </c>
      <c r="AD30" s="860"/>
      <c r="AE30" s="860"/>
      <c r="AG30" s="860">
        <v>30800</v>
      </c>
      <c r="AH30" s="860">
        <v>5700</v>
      </c>
      <c r="AI30" s="860">
        <v>33500</v>
      </c>
      <c r="AJ30" s="860">
        <v>7300</v>
      </c>
      <c r="AK30" s="860"/>
      <c r="AL30" s="860"/>
    </row>
    <row r="31" spans="1:38" s="7" customFormat="1" ht="18.95" customHeight="1">
      <c r="A31" s="240">
        <v>9</v>
      </c>
      <c r="B31" s="242" t="s">
        <v>1317</v>
      </c>
      <c r="C31" s="862">
        <f>+('107 (a)'!G30*'107(b)'!Z31)/1000000</f>
        <v>6.7759999999999998</v>
      </c>
      <c r="D31" s="862">
        <f>+('107 (a)'!G30*'107(b)'!AA31)/1000000</f>
        <v>1.1990000000000001</v>
      </c>
      <c r="E31" s="869">
        <f t="shared" si="18"/>
        <v>7.9749999999999996</v>
      </c>
      <c r="F31" s="869">
        <f>+('107 (a)'!H30*'107(b)'!AB31)/1000000</f>
        <v>4.2705000000000002</v>
      </c>
      <c r="G31" s="869">
        <f>+('107 (a)'!H30*'107(b)'!AC31)/1000000</f>
        <v>1.0293000000000001</v>
      </c>
      <c r="H31" s="869">
        <f t="shared" si="19"/>
        <v>5.2998000000000003</v>
      </c>
      <c r="I31" s="862">
        <f>+('107 (a)'!J30*100700)/1000000</f>
        <v>2.6181999999999999</v>
      </c>
      <c r="J31" s="862">
        <f>+('107 (a)'!K30*100700)/1000000</f>
        <v>1.0069999999999999</v>
      </c>
      <c r="K31" s="873">
        <f t="shared" si="20"/>
        <v>3.6251999999999995</v>
      </c>
      <c r="L31" s="874">
        <f t="shared" si="21"/>
        <v>16.899999999999999</v>
      </c>
      <c r="M31" s="604"/>
      <c r="N31" s="887">
        <f>+('107 (a)'!S30*'107 (a)'!AB30)/1000000</f>
        <v>6.7149000000000001</v>
      </c>
      <c r="O31" s="271"/>
      <c r="P31" s="888">
        <f t="shared" si="22"/>
        <v>6.7149000000000001</v>
      </c>
      <c r="Q31" s="888">
        <f>+('107 (a)'!T30*'107 (a)'!AC30)/1000000</f>
        <v>0</v>
      </c>
      <c r="R31" s="888"/>
      <c r="S31" s="888">
        <f t="shared" si="23"/>
        <v>0</v>
      </c>
      <c r="T31" s="271"/>
      <c r="U31" s="271"/>
      <c r="V31" s="607">
        <f t="shared" si="24"/>
        <v>0</v>
      </c>
      <c r="W31" s="608">
        <f t="shared" si="25"/>
        <v>6.7149000000000001</v>
      </c>
      <c r="X31" s="601">
        <f t="shared" si="26"/>
        <v>23.614899999999999</v>
      </c>
      <c r="Z31" s="860">
        <f t="shared" si="16"/>
        <v>61600</v>
      </c>
      <c r="AA31" s="860">
        <f t="shared" si="17"/>
        <v>10900</v>
      </c>
      <c r="AB31" s="860">
        <f t="shared" si="27"/>
        <v>58500</v>
      </c>
      <c r="AC31" s="860">
        <f t="shared" si="28"/>
        <v>14100</v>
      </c>
      <c r="AD31" s="860"/>
      <c r="AE31" s="860"/>
      <c r="AG31" s="860">
        <v>30800</v>
      </c>
      <c r="AH31" s="860">
        <v>5700</v>
      </c>
      <c r="AI31" s="860">
        <v>29500</v>
      </c>
      <c r="AJ31" s="860">
        <v>7300</v>
      </c>
      <c r="AK31" s="860"/>
      <c r="AL31" s="860"/>
    </row>
    <row r="32" spans="1:38" s="7" customFormat="1" ht="18.95" customHeight="1">
      <c r="A32" s="572">
        <v>10</v>
      </c>
      <c r="B32" s="854" t="s">
        <v>409</v>
      </c>
      <c r="C32" s="862">
        <f>+('107 (a)'!G31*'107(b)'!Z32)/1000000</f>
        <v>4.8048000000000002</v>
      </c>
      <c r="D32" s="862">
        <f>+('107 (a)'!G31*'107(b)'!AA32)/1000000</f>
        <v>0.85019999999999996</v>
      </c>
      <c r="E32" s="869">
        <f t="shared" si="18"/>
        <v>5.6550000000000002</v>
      </c>
      <c r="F32" s="869">
        <f>+('107 (a)'!H31*'107(b)'!AB32)/1000000</f>
        <v>3.4016000000000002</v>
      </c>
      <c r="G32" s="869">
        <f>+('107 (a)'!H31*'107(b)'!AC32)/1000000</f>
        <v>0.45119999999999999</v>
      </c>
      <c r="H32" s="869">
        <f t="shared" si="19"/>
        <v>3.8528000000000002</v>
      </c>
      <c r="I32" s="862">
        <f>+('107 (a)'!J31*100700)/1000000</f>
        <v>5.5385</v>
      </c>
      <c r="J32" s="862">
        <f>+('107 (a)'!K31*100700)/1000000</f>
        <v>2.6181999999999999</v>
      </c>
      <c r="K32" s="873">
        <f t="shared" si="20"/>
        <v>8.1567000000000007</v>
      </c>
      <c r="L32" s="874">
        <f t="shared" si="21"/>
        <v>17.664500000000004</v>
      </c>
      <c r="M32" s="604"/>
      <c r="N32" s="887">
        <f>+('107 (a)'!S31*'107 (a)'!AB31)/1000000</f>
        <v>0</v>
      </c>
      <c r="O32" s="271"/>
      <c r="P32" s="888">
        <f t="shared" si="22"/>
        <v>0</v>
      </c>
      <c r="Q32" s="888">
        <f>+('107 (a)'!T31*'107 (a)'!AC31)/1000000</f>
        <v>0</v>
      </c>
      <c r="R32" s="888"/>
      <c r="S32" s="888">
        <f t="shared" si="23"/>
        <v>0</v>
      </c>
      <c r="T32" s="271"/>
      <c r="U32" s="271"/>
      <c r="V32" s="607">
        <f t="shared" si="24"/>
        <v>0</v>
      </c>
      <c r="W32" s="608">
        <f t="shared" si="25"/>
        <v>0</v>
      </c>
      <c r="X32" s="601">
        <f t="shared" si="26"/>
        <v>17.664500000000004</v>
      </c>
      <c r="Z32" s="860">
        <f t="shared" si="16"/>
        <v>61600</v>
      </c>
      <c r="AA32" s="860">
        <f t="shared" si="17"/>
        <v>10900</v>
      </c>
      <c r="AB32" s="860">
        <f t="shared" si="27"/>
        <v>106300</v>
      </c>
      <c r="AC32" s="860">
        <f t="shared" si="28"/>
        <v>14100</v>
      </c>
      <c r="AD32" s="860"/>
      <c r="AE32" s="860"/>
      <c r="AG32" s="860">
        <v>30800</v>
      </c>
      <c r="AH32" s="860">
        <v>5700</v>
      </c>
      <c r="AI32" s="860">
        <v>53400</v>
      </c>
      <c r="AJ32" s="860">
        <v>7300</v>
      </c>
      <c r="AK32" s="860"/>
      <c r="AL32" s="860"/>
    </row>
    <row r="33" spans="1:38" s="7" customFormat="1" ht="18.95" customHeight="1">
      <c r="A33" s="240">
        <v>11</v>
      </c>
      <c r="B33" s="854" t="s">
        <v>382</v>
      </c>
      <c r="C33" s="862">
        <f>+('107 (a)'!G32*'107(b)'!Z33)/1000000</f>
        <v>36.825000000000003</v>
      </c>
      <c r="D33" s="862">
        <f>+('107 (a)'!G32*'107(b)'!AA33)/1000000</f>
        <v>6.9230999999999998</v>
      </c>
      <c r="E33" s="869">
        <f t="shared" si="18"/>
        <v>43.748100000000001</v>
      </c>
      <c r="F33" s="869">
        <f>+('107 (a)'!H32*'107(b)'!AB33)/1000000</f>
        <v>4.0439999999999996</v>
      </c>
      <c r="G33" s="869">
        <f>+('107 (a)'!H32*'107(b)'!AC33)/1000000</f>
        <v>0.56399999999999995</v>
      </c>
      <c r="H33" s="869">
        <f t="shared" si="19"/>
        <v>4.6079999999999997</v>
      </c>
      <c r="I33" s="862">
        <f>+('107 (a)'!J32*100700)/1000000</f>
        <v>3.1217000000000001</v>
      </c>
      <c r="J33" s="862">
        <f>+('107 (a)'!K32*100700)/1000000</f>
        <v>0.40279999999999999</v>
      </c>
      <c r="K33" s="873">
        <f t="shared" si="20"/>
        <v>3.5245000000000002</v>
      </c>
      <c r="L33" s="874">
        <f t="shared" si="21"/>
        <v>51.880600000000001</v>
      </c>
      <c r="M33" s="604"/>
      <c r="N33" s="887">
        <f>+('107 (a)'!S32*'107 (a)'!AB32)/1000000</f>
        <v>0</v>
      </c>
      <c r="O33" s="271"/>
      <c r="P33" s="888">
        <f t="shared" si="22"/>
        <v>0</v>
      </c>
      <c r="Q33" s="888">
        <f>+('107 (a)'!T32*'107 (a)'!AC32)/1000000</f>
        <v>0</v>
      </c>
      <c r="R33" s="888"/>
      <c r="S33" s="888">
        <f t="shared" si="23"/>
        <v>0</v>
      </c>
      <c r="T33" s="271"/>
      <c r="U33" s="271"/>
      <c r="V33" s="607">
        <f t="shared" si="24"/>
        <v>0</v>
      </c>
      <c r="W33" s="608">
        <f t="shared" si="25"/>
        <v>0</v>
      </c>
      <c r="X33" s="601">
        <f t="shared" si="26"/>
        <v>51.880600000000001</v>
      </c>
      <c r="Z33" s="860">
        <f t="shared" si="16"/>
        <v>75000</v>
      </c>
      <c r="AA33" s="860">
        <f t="shared" si="17"/>
        <v>14100</v>
      </c>
      <c r="AB33" s="860">
        <f t="shared" si="27"/>
        <v>101100</v>
      </c>
      <c r="AC33" s="860">
        <f t="shared" si="28"/>
        <v>14100</v>
      </c>
      <c r="AD33" s="860"/>
      <c r="AE33" s="860"/>
      <c r="AG33" s="860">
        <v>37500</v>
      </c>
      <c r="AH33" s="860">
        <v>7300</v>
      </c>
      <c r="AI33" s="860">
        <v>50800</v>
      </c>
      <c r="AJ33" s="860">
        <v>7300</v>
      </c>
      <c r="AK33" s="860"/>
      <c r="AL33" s="860"/>
    </row>
    <row r="34" spans="1:38" s="7" customFormat="1" ht="18.95" customHeight="1">
      <c r="A34" s="572">
        <v>12</v>
      </c>
      <c r="B34" s="854" t="s">
        <v>1323</v>
      </c>
      <c r="C34" s="862">
        <f>+('107 (a)'!G33*'107(b)'!Z34)/1000000</f>
        <v>5.36</v>
      </c>
      <c r="D34" s="862">
        <f>+('107 (a)'!G33*'107(b)'!AA34)/1000000</f>
        <v>0.872</v>
      </c>
      <c r="E34" s="869">
        <f t="shared" si="18"/>
        <v>6.2320000000000002</v>
      </c>
      <c r="F34" s="869">
        <f>+('107 (a)'!H33*'107(b)'!AB34)/1000000</f>
        <v>6.4504999999999999</v>
      </c>
      <c r="G34" s="869">
        <f>+('107 (a)'!H33*'107(b)'!AC34)/1000000</f>
        <v>1.3676999999999999</v>
      </c>
      <c r="H34" s="869">
        <f t="shared" si="19"/>
        <v>7.8182</v>
      </c>
      <c r="I34" s="862">
        <f>+('107 (a)'!J33*100700)/1000000</f>
        <v>5.0350000000000001</v>
      </c>
      <c r="J34" s="862">
        <f>+('107 (a)'!K33*100700)/1000000</f>
        <v>2.1147</v>
      </c>
      <c r="K34" s="873">
        <f t="shared" si="20"/>
        <v>7.1497000000000002</v>
      </c>
      <c r="L34" s="874">
        <f t="shared" si="21"/>
        <v>21.1999</v>
      </c>
      <c r="M34" s="604"/>
      <c r="N34" s="887">
        <f>+('107 (a)'!S33*'107 (a)'!AB33)/1000000</f>
        <v>5.5542999999999996</v>
      </c>
      <c r="O34" s="271"/>
      <c r="P34" s="888">
        <f t="shared" si="22"/>
        <v>5.5542999999999996</v>
      </c>
      <c r="Q34" s="888">
        <f>+('107 (a)'!T33*'107 (a)'!AC33)/1000000</f>
        <v>0</v>
      </c>
      <c r="R34" s="888"/>
      <c r="S34" s="888">
        <f t="shared" si="23"/>
        <v>0</v>
      </c>
      <c r="T34" s="271"/>
      <c r="U34" s="271"/>
      <c r="V34" s="607">
        <f t="shared" si="24"/>
        <v>0</v>
      </c>
      <c r="W34" s="608">
        <f t="shared" si="25"/>
        <v>5.5542999999999996</v>
      </c>
      <c r="X34" s="601">
        <f t="shared" si="26"/>
        <v>26.754199999999997</v>
      </c>
      <c r="Z34" s="860">
        <f t="shared" si="16"/>
        <v>67000</v>
      </c>
      <c r="AA34" s="860">
        <f t="shared" si="17"/>
        <v>10900</v>
      </c>
      <c r="AB34" s="860">
        <f t="shared" si="27"/>
        <v>66500</v>
      </c>
      <c r="AC34" s="860">
        <f t="shared" si="28"/>
        <v>14100</v>
      </c>
      <c r="AD34" s="860"/>
      <c r="AE34" s="860"/>
      <c r="AG34" s="860">
        <v>33500</v>
      </c>
      <c r="AH34" s="860">
        <v>5700</v>
      </c>
      <c r="AI34" s="860">
        <v>33500</v>
      </c>
      <c r="AJ34" s="860">
        <v>7300</v>
      </c>
      <c r="AK34" s="860"/>
      <c r="AL34" s="860"/>
    </row>
    <row r="35" spans="1:38" s="7" customFormat="1" ht="18.95" customHeight="1">
      <c r="A35" s="240">
        <v>13</v>
      </c>
      <c r="B35" s="854" t="s">
        <v>410</v>
      </c>
      <c r="C35" s="862">
        <f>+('107 (a)'!G34*'107(b)'!Z35)/1000000</f>
        <v>23.7776</v>
      </c>
      <c r="D35" s="862">
        <f>+('107 (a)'!G34*'107(b)'!AA35)/1000000</f>
        <v>3.6863000000000001</v>
      </c>
      <c r="E35" s="869">
        <f t="shared" si="18"/>
        <v>27.463899999999999</v>
      </c>
      <c r="F35" s="869">
        <f>+('107 (a)'!H34*'107(b)'!AB35)/1000000</f>
        <v>0</v>
      </c>
      <c r="G35" s="869">
        <f>+('107 (a)'!H34*'107(b)'!AC35)/1000000</f>
        <v>0</v>
      </c>
      <c r="H35" s="869">
        <f t="shared" si="19"/>
        <v>0</v>
      </c>
      <c r="I35" s="862">
        <f>+('107 (a)'!J34*100700)/1000000</f>
        <v>3.1217000000000001</v>
      </c>
      <c r="J35" s="862">
        <f>+('107 (a)'!K34*100700)/1000000</f>
        <v>1.3090999999999999</v>
      </c>
      <c r="K35" s="873">
        <f t="shared" si="20"/>
        <v>4.4307999999999996</v>
      </c>
      <c r="L35" s="874">
        <f t="shared" si="21"/>
        <v>31.8947</v>
      </c>
      <c r="M35" s="604"/>
      <c r="N35" s="887">
        <f>+('107 (a)'!S34*'107 (a)'!AB34)/1000000</f>
        <v>2.9843999999999999</v>
      </c>
      <c r="O35" s="271"/>
      <c r="P35" s="888">
        <f t="shared" si="22"/>
        <v>2.9843999999999999</v>
      </c>
      <c r="Q35" s="888">
        <f>+('107 (a)'!T34*'107 (a)'!AC34)/1000000</f>
        <v>0</v>
      </c>
      <c r="R35" s="888"/>
      <c r="S35" s="888">
        <f t="shared" si="23"/>
        <v>0</v>
      </c>
      <c r="T35" s="271"/>
      <c r="U35" s="271"/>
      <c r="V35" s="607">
        <f t="shared" si="24"/>
        <v>0</v>
      </c>
      <c r="W35" s="608">
        <f t="shared" si="25"/>
        <v>2.9843999999999999</v>
      </c>
      <c r="X35" s="601">
        <f t="shared" si="26"/>
        <v>34.879100000000001</v>
      </c>
      <c r="Z35" s="860">
        <f t="shared" si="16"/>
        <v>123200</v>
      </c>
      <c r="AA35" s="860">
        <f t="shared" si="17"/>
        <v>19100</v>
      </c>
      <c r="AB35" s="860"/>
      <c r="AC35" s="860"/>
      <c r="AD35" s="860"/>
      <c r="AE35" s="860"/>
      <c r="AG35" s="860">
        <v>61600</v>
      </c>
      <c r="AH35" s="860">
        <v>9800</v>
      </c>
      <c r="AI35" s="860"/>
      <c r="AJ35" s="860"/>
      <c r="AK35" s="860"/>
      <c r="AL35" s="860"/>
    </row>
    <row r="36" spans="1:38" ht="20.100000000000001" customHeight="1">
      <c r="A36" s="1583" t="s">
        <v>752</v>
      </c>
      <c r="B36" s="1583"/>
      <c r="C36" s="865">
        <f>SUM(C23:C35)</f>
        <v>149.55439999999999</v>
      </c>
      <c r="D36" s="865">
        <f t="shared" ref="D36:L36" si="29">SUM(D23:D35)</f>
        <v>26.568899999999996</v>
      </c>
      <c r="E36" s="865">
        <f t="shared" si="29"/>
        <v>176.1233</v>
      </c>
      <c r="F36" s="865">
        <f t="shared" si="29"/>
        <v>54.686599999999999</v>
      </c>
      <c r="G36" s="865">
        <f t="shared" si="29"/>
        <v>10.596399999999999</v>
      </c>
      <c r="H36" s="865">
        <f t="shared" si="29"/>
        <v>65.283000000000001</v>
      </c>
      <c r="I36" s="865">
        <f t="shared" si="29"/>
        <v>46.221299999999992</v>
      </c>
      <c r="J36" s="865">
        <f t="shared" si="29"/>
        <v>15.608499999999999</v>
      </c>
      <c r="K36" s="865">
        <f t="shared" si="29"/>
        <v>61.829800000000006</v>
      </c>
      <c r="L36" s="864">
        <f t="shared" si="29"/>
        <v>303.23609999999996</v>
      </c>
      <c r="M36" s="604"/>
      <c r="N36" s="864">
        <f t="shared" ref="N36:W36" si="30">SUM(N23:N35)</f>
        <v>75.024499999999989</v>
      </c>
      <c r="O36" s="560">
        <f t="shared" si="30"/>
        <v>0</v>
      </c>
      <c r="P36" s="864">
        <f t="shared" si="30"/>
        <v>75.024499999999989</v>
      </c>
      <c r="Q36" s="864">
        <f t="shared" si="30"/>
        <v>5.8680000000000003</v>
      </c>
      <c r="R36" s="864">
        <f t="shared" si="30"/>
        <v>0</v>
      </c>
      <c r="S36" s="864">
        <f t="shared" si="30"/>
        <v>5.8680000000000003</v>
      </c>
      <c r="T36" s="560">
        <f t="shared" si="30"/>
        <v>0</v>
      </c>
      <c r="U36" s="560">
        <f t="shared" si="30"/>
        <v>0</v>
      </c>
      <c r="V36" s="575">
        <f t="shared" si="30"/>
        <v>0</v>
      </c>
      <c r="W36" s="560">
        <f t="shared" si="30"/>
        <v>80.892499999999998</v>
      </c>
      <c r="X36" s="601">
        <f t="shared" si="15"/>
        <v>384.12859999999995</v>
      </c>
      <c r="AG36" s="857"/>
      <c r="AH36" s="857"/>
      <c r="AI36" s="857"/>
      <c r="AJ36" s="857"/>
      <c r="AK36" s="857"/>
      <c r="AL36" s="857"/>
    </row>
    <row r="37" spans="1:38" ht="15" customHeight="1">
      <c r="A37" s="1581" t="s">
        <v>152</v>
      </c>
      <c r="B37" s="1581"/>
      <c r="C37" s="1581"/>
      <c r="D37" s="1581"/>
      <c r="E37" s="1581"/>
      <c r="F37" s="1581"/>
      <c r="G37" s="1581"/>
      <c r="H37" s="1581"/>
      <c r="I37" s="1581"/>
      <c r="J37" s="1581"/>
      <c r="K37" s="1581"/>
      <c r="L37" s="1581"/>
      <c r="M37" s="604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0"/>
      <c r="AG37" s="857"/>
      <c r="AH37" s="857"/>
      <c r="AI37" s="857"/>
      <c r="AJ37" s="857"/>
      <c r="AK37" s="857"/>
      <c r="AL37" s="857"/>
    </row>
    <row r="38" spans="1:38" s="7" customFormat="1" ht="18.95" customHeight="1">
      <c r="A38" s="240">
        <v>1</v>
      </c>
      <c r="B38" s="242"/>
      <c r="C38" s="271"/>
      <c r="D38" s="271"/>
      <c r="E38" s="606">
        <f t="shared" ref="E38:E43" si="31">C38+D38</f>
        <v>0</v>
      </c>
      <c r="F38" s="606"/>
      <c r="G38" s="606"/>
      <c r="H38" s="606">
        <f t="shared" ref="H38:H43" si="32">F38+G38</f>
        <v>0</v>
      </c>
      <c r="I38" s="271"/>
      <c r="J38" s="271"/>
      <c r="K38" s="607">
        <f t="shared" ref="K38:K43" si="33">I38+J38</f>
        <v>0</v>
      </c>
      <c r="L38" s="608">
        <f>E38+K38+H38</f>
        <v>0</v>
      </c>
      <c r="M38" s="604"/>
      <c r="N38" s="271"/>
      <c r="O38" s="271"/>
      <c r="P38" s="606">
        <f t="shared" ref="P38:P43" si="34">N38+O38</f>
        <v>0</v>
      </c>
      <c r="Q38" s="606"/>
      <c r="R38" s="606"/>
      <c r="S38" s="606">
        <f t="shared" ref="S38:S43" si="35">Q38+R38</f>
        <v>0</v>
      </c>
      <c r="T38" s="271"/>
      <c r="U38" s="271"/>
      <c r="V38" s="607">
        <f t="shared" ref="V38:V43" si="36">T38+U38</f>
        <v>0</v>
      </c>
      <c r="W38" s="608">
        <f>P38+V38+S38</f>
        <v>0</v>
      </c>
      <c r="X38" s="601">
        <f t="shared" si="15"/>
        <v>0</v>
      </c>
      <c r="Z38" s="860"/>
      <c r="AA38" s="860"/>
      <c r="AB38" s="860"/>
      <c r="AC38" s="860"/>
      <c r="AD38" s="860"/>
      <c r="AE38" s="860"/>
      <c r="AG38" s="860"/>
      <c r="AH38" s="860"/>
      <c r="AI38" s="860"/>
      <c r="AJ38" s="860"/>
      <c r="AK38" s="860"/>
      <c r="AL38" s="860"/>
    </row>
    <row r="39" spans="1:38" s="7" customFormat="1" ht="18.95" customHeight="1">
      <c r="A39" s="241">
        <v>2</v>
      </c>
      <c r="B39" s="242"/>
      <c r="C39" s="238"/>
      <c r="D39" s="238"/>
      <c r="E39" s="239">
        <f t="shared" si="31"/>
        <v>0</v>
      </c>
      <c r="F39" s="239"/>
      <c r="G39" s="239"/>
      <c r="H39" s="239">
        <f t="shared" si="32"/>
        <v>0</v>
      </c>
      <c r="I39" s="238"/>
      <c r="J39" s="238"/>
      <c r="K39" s="564">
        <f t="shared" si="33"/>
        <v>0</v>
      </c>
      <c r="L39" s="565">
        <f>E39+K39</f>
        <v>0</v>
      </c>
      <c r="M39" s="604"/>
      <c r="N39" s="238"/>
      <c r="O39" s="238"/>
      <c r="P39" s="239">
        <f t="shared" si="34"/>
        <v>0</v>
      </c>
      <c r="Q39" s="239"/>
      <c r="R39" s="239"/>
      <c r="S39" s="239">
        <f t="shared" si="35"/>
        <v>0</v>
      </c>
      <c r="T39" s="238"/>
      <c r="U39" s="238"/>
      <c r="V39" s="564">
        <f t="shared" si="36"/>
        <v>0</v>
      </c>
      <c r="W39" s="565">
        <f>P39+V39</f>
        <v>0</v>
      </c>
      <c r="X39" s="601">
        <f t="shared" si="15"/>
        <v>0</v>
      </c>
      <c r="Z39" s="860"/>
      <c r="AA39" s="860"/>
      <c r="AB39" s="860"/>
      <c r="AC39" s="860"/>
      <c r="AD39" s="860"/>
      <c r="AE39" s="860"/>
      <c r="AG39" s="860"/>
      <c r="AH39" s="860"/>
      <c r="AI39" s="860"/>
      <c r="AJ39" s="860"/>
      <c r="AK39" s="860"/>
      <c r="AL39" s="860"/>
    </row>
    <row r="40" spans="1:38" s="7" customFormat="1" ht="18.95" customHeight="1">
      <c r="A40" s="241">
        <v>3</v>
      </c>
      <c r="B40" s="242"/>
      <c r="C40" s="238"/>
      <c r="D40" s="238"/>
      <c r="E40" s="239">
        <f t="shared" si="31"/>
        <v>0</v>
      </c>
      <c r="F40" s="239"/>
      <c r="G40" s="239"/>
      <c r="H40" s="239">
        <f t="shared" si="32"/>
        <v>0</v>
      </c>
      <c r="I40" s="238"/>
      <c r="J40" s="238"/>
      <c r="K40" s="564">
        <f t="shared" si="33"/>
        <v>0</v>
      </c>
      <c r="L40" s="565">
        <f>E40+K40</f>
        <v>0</v>
      </c>
      <c r="M40" s="604"/>
      <c r="N40" s="238"/>
      <c r="O40" s="238"/>
      <c r="P40" s="239">
        <f t="shared" si="34"/>
        <v>0</v>
      </c>
      <c r="Q40" s="239"/>
      <c r="R40" s="239"/>
      <c r="S40" s="239">
        <f t="shared" si="35"/>
        <v>0</v>
      </c>
      <c r="T40" s="238"/>
      <c r="U40" s="238"/>
      <c r="V40" s="564">
        <f t="shared" si="36"/>
        <v>0</v>
      </c>
      <c r="W40" s="565">
        <f>P40+V40</f>
        <v>0</v>
      </c>
      <c r="X40" s="601">
        <f t="shared" si="15"/>
        <v>0</v>
      </c>
      <c r="Z40" s="860"/>
      <c r="AA40" s="860"/>
      <c r="AB40" s="860"/>
      <c r="AC40" s="860"/>
      <c r="AD40" s="860"/>
      <c r="AE40" s="860"/>
      <c r="AG40" s="860"/>
      <c r="AH40" s="860"/>
      <c r="AI40" s="860"/>
      <c r="AJ40" s="860"/>
      <c r="AK40" s="860"/>
      <c r="AL40" s="860"/>
    </row>
    <row r="41" spans="1:38" s="7" customFormat="1" ht="18.95" customHeight="1">
      <c r="A41" s="241">
        <v>4</v>
      </c>
      <c r="B41" s="242"/>
      <c r="C41" s="238"/>
      <c r="D41" s="238"/>
      <c r="E41" s="239">
        <f t="shared" si="31"/>
        <v>0</v>
      </c>
      <c r="F41" s="239"/>
      <c r="G41" s="239"/>
      <c r="H41" s="239">
        <f t="shared" si="32"/>
        <v>0</v>
      </c>
      <c r="I41" s="238"/>
      <c r="J41" s="238"/>
      <c r="K41" s="564">
        <f t="shared" si="33"/>
        <v>0</v>
      </c>
      <c r="L41" s="565">
        <f>E41+K41</f>
        <v>0</v>
      </c>
      <c r="M41" s="604"/>
      <c r="N41" s="238"/>
      <c r="O41" s="238"/>
      <c r="P41" s="239">
        <f t="shared" si="34"/>
        <v>0</v>
      </c>
      <c r="Q41" s="239"/>
      <c r="R41" s="239"/>
      <c r="S41" s="239">
        <f t="shared" si="35"/>
        <v>0</v>
      </c>
      <c r="T41" s="238"/>
      <c r="U41" s="238"/>
      <c r="V41" s="564">
        <f t="shared" si="36"/>
        <v>0</v>
      </c>
      <c r="W41" s="565">
        <f>P41+V41</f>
        <v>0</v>
      </c>
      <c r="X41" s="601">
        <f t="shared" si="15"/>
        <v>0</v>
      </c>
      <c r="Z41" s="860"/>
      <c r="AA41" s="860"/>
      <c r="AB41" s="860"/>
      <c r="AC41" s="860"/>
      <c r="AD41" s="860"/>
      <c r="AE41" s="860"/>
      <c r="AG41" s="860"/>
      <c r="AH41" s="860"/>
      <c r="AI41" s="860"/>
      <c r="AJ41" s="860"/>
      <c r="AK41" s="860"/>
      <c r="AL41" s="860"/>
    </row>
    <row r="42" spans="1:38" s="7" customFormat="1" ht="18.95" customHeight="1">
      <c r="A42" s="241">
        <v>5</v>
      </c>
      <c r="B42" s="242"/>
      <c r="C42" s="238"/>
      <c r="D42" s="238"/>
      <c r="E42" s="239">
        <f t="shared" si="31"/>
        <v>0</v>
      </c>
      <c r="F42" s="239"/>
      <c r="G42" s="239"/>
      <c r="H42" s="239">
        <f t="shared" si="32"/>
        <v>0</v>
      </c>
      <c r="I42" s="238"/>
      <c r="J42" s="238"/>
      <c r="K42" s="564">
        <f t="shared" si="33"/>
        <v>0</v>
      </c>
      <c r="L42" s="565">
        <f>E42+K42</f>
        <v>0</v>
      </c>
      <c r="M42" s="604"/>
      <c r="N42" s="238"/>
      <c r="O42" s="238"/>
      <c r="P42" s="239">
        <f t="shared" si="34"/>
        <v>0</v>
      </c>
      <c r="Q42" s="239"/>
      <c r="R42" s="239"/>
      <c r="S42" s="239">
        <f t="shared" si="35"/>
        <v>0</v>
      </c>
      <c r="T42" s="238"/>
      <c r="U42" s="238"/>
      <c r="V42" s="564">
        <f t="shared" si="36"/>
        <v>0</v>
      </c>
      <c r="W42" s="565">
        <f>P42+V42</f>
        <v>0</v>
      </c>
      <c r="X42" s="601">
        <f t="shared" si="15"/>
        <v>0</v>
      </c>
      <c r="Z42" s="860"/>
      <c r="AA42" s="860"/>
      <c r="AB42" s="860"/>
      <c r="AC42" s="860"/>
      <c r="AD42" s="860"/>
      <c r="AE42" s="860"/>
      <c r="AG42" s="860"/>
      <c r="AH42" s="860"/>
      <c r="AI42" s="860"/>
      <c r="AJ42" s="860"/>
      <c r="AK42" s="860"/>
      <c r="AL42" s="860"/>
    </row>
    <row r="43" spans="1:38" s="7" customFormat="1" ht="18.95" customHeight="1">
      <c r="A43" s="561">
        <v>6</v>
      </c>
      <c r="B43" s="562"/>
      <c r="C43" s="359"/>
      <c r="D43" s="237"/>
      <c r="E43" s="198">
        <f t="shared" si="31"/>
        <v>0</v>
      </c>
      <c r="F43" s="198"/>
      <c r="G43" s="563"/>
      <c r="H43" s="563">
        <f t="shared" si="32"/>
        <v>0</v>
      </c>
      <c r="I43" s="359"/>
      <c r="J43" s="237"/>
      <c r="K43" s="574">
        <f t="shared" si="33"/>
        <v>0</v>
      </c>
      <c r="L43" s="565">
        <f>E43+K43</f>
        <v>0</v>
      </c>
      <c r="M43" s="604"/>
      <c r="N43" s="359"/>
      <c r="O43" s="237"/>
      <c r="P43" s="198">
        <f t="shared" si="34"/>
        <v>0</v>
      </c>
      <c r="Q43" s="198"/>
      <c r="R43" s="563"/>
      <c r="S43" s="563">
        <f t="shared" si="35"/>
        <v>0</v>
      </c>
      <c r="T43" s="359"/>
      <c r="U43" s="237"/>
      <c r="V43" s="574">
        <f t="shared" si="36"/>
        <v>0</v>
      </c>
      <c r="W43" s="565">
        <f>P43+V43</f>
        <v>0</v>
      </c>
      <c r="X43" s="601">
        <f t="shared" si="15"/>
        <v>0</v>
      </c>
      <c r="Z43" s="860"/>
      <c r="AA43" s="860"/>
      <c r="AB43" s="860"/>
      <c r="AC43" s="860"/>
      <c r="AD43" s="860"/>
      <c r="AE43" s="860"/>
      <c r="AG43" s="860"/>
      <c r="AH43" s="860"/>
      <c r="AI43" s="860"/>
      <c r="AJ43" s="860"/>
      <c r="AK43" s="860"/>
      <c r="AL43" s="860"/>
    </row>
    <row r="44" spans="1:38" ht="20.100000000000001" customHeight="1">
      <c r="A44" s="1583" t="s">
        <v>752</v>
      </c>
      <c r="B44" s="1583"/>
      <c r="C44" s="560">
        <f>SUM(C38:C42)</f>
        <v>0</v>
      </c>
      <c r="D44" s="560">
        <f t="shared" ref="D44:L44" si="37">SUM(D38:D42)</f>
        <v>0</v>
      </c>
      <c r="E44" s="560">
        <f t="shared" si="37"/>
        <v>0</v>
      </c>
      <c r="F44" s="560">
        <f t="shared" si="37"/>
        <v>0</v>
      </c>
      <c r="G44" s="560">
        <f t="shared" si="37"/>
        <v>0</v>
      </c>
      <c r="H44" s="560">
        <f t="shared" si="37"/>
        <v>0</v>
      </c>
      <c r="I44" s="560">
        <f t="shared" si="37"/>
        <v>0</v>
      </c>
      <c r="J44" s="560">
        <f t="shared" si="37"/>
        <v>0</v>
      </c>
      <c r="K44" s="575">
        <f t="shared" si="37"/>
        <v>0</v>
      </c>
      <c r="L44" s="560">
        <f t="shared" si="37"/>
        <v>0</v>
      </c>
      <c r="M44" s="604"/>
      <c r="N44" s="560">
        <f>SUM(N38:N42)</f>
        <v>0</v>
      </c>
      <c r="O44" s="560">
        <f t="shared" ref="O44:W44" si="38">SUM(O38:O42)</f>
        <v>0</v>
      </c>
      <c r="P44" s="560">
        <f t="shared" si="38"/>
        <v>0</v>
      </c>
      <c r="Q44" s="560">
        <f t="shared" si="38"/>
        <v>0</v>
      </c>
      <c r="R44" s="560">
        <f t="shared" si="38"/>
        <v>0</v>
      </c>
      <c r="S44" s="560">
        <f t="shared" si="38"/>
        <v>0</v>
      </c>
      <c r="T44" s="560">
        <f t="shared" si="38"/>
        <v>0</v>
      </c>
      <c r="U44" s="560">
        <f t="shared" si="38"/>
        <v>0</v>
      </c>
      <c r="V44" s="575">
        <f t="shared" si="38"/>
        <v>0</v>
      </c>
      <c r="W44" s="560">
        <f t="shared" si="38"/>
        <v>0</v>
      </c>
      <c r="X44" s="601">
        <f t="shared" si="15"/>
        <v>0</v>
      </c>
      <c r="AG44" s="857"/>
      <c r="AH44" s="857"/>
      <c r="AI44" s="857"/>
      <c r="AJ44" s="857"/>
      <c r="AK44" s="857"/>
      <c r="AL44" s="857"/>
    </row>
    <row r="45" spans="1:38" ht="15" customHeight="1">
      <c r="A45" s="1581" t="s">
        <v>741</v>
      </c>
      <c r="B45" s="1581"/>
      <c r="C45" s="1581"/>
      <c r="D45" s="1581"/>
      <c r="E45" s="1581"/>
      <c r="F45" s="1581"/>
      <c r="G45" s="1581"/>
      <c r="H45" s="1581"/>
      <c r="I45" s="1581"/>
      <c r="J45" s="1581"/>
      <c r="K45" s="1581"/>
      <c r="L45" s="1581"/>
      <c r="M45" s="604"/>
      <c r="N45" s="609"/>
      <c r="O45" s="609"/>
      <c r="P45" s="609"/>
      <c r="Q45" s="609"/>
      <c r="R45" s="609"/>
      <c r="S45" s="609"/>
      <c r="T45" s="609"/>
      <c r="U45" s="609"/>
      <c r="V45" s="609"/>
      <c r="W45" s="609"/>
      <c r="X45" s="600"/>
      <c r="AG45" s="857"/>
      <c r="AH45" s="857"/>
      <c r="AI45" s="857"/>
      <c r="AJ45" s="857"/>
      <c r="AK45" s="857"/>
      <c r="AL45" s="857"/>
    </row>
    <row r="46" spans="1:38" s="7" customFormat="1" ht="18.95" customHeight="1">
      <c r="A46" s="240">
        <v>1</v>
      </c>
      <c r="B46" s="854" t="s">
        <v>1321</v>
      </c>
      <c r="C46" s="862">
        <f>+('107 (a)'!G45*'107(b)'!Z46)/1000000</f>
        <v>17.175000000000001</v>
      </c>
      <c r="D46" s="862">
        <f>+('107 (a)'!G45*'107(b)'!AA46)/1000000</f>
        <v>2.4961000000000002</v>
      </c>
      <c r="E46" s="869">
        <f t="shared" ref="E46:E55" si="39">C46+D46</f>
        <v>19.671100000000003</v>
      </c>
      <c r="F46" s="862">
        <f>+('107 (a)'!H45*'107(b)'!AB46)/1000000</f>
        <v>15.0844</v>
      </c>
      <c r="G46" s="869">
        <f>+('107 (a)'!H45*'107(b)'!AC46)/1000000</f>
        <v>2.4251999999999998</v>
      </c>
      <c r="H46" s="869">
        <f t="shared" ref="H46:H55" si="40">F46+G46</f>
        <v>17.509599999999999</v>
      </c>
      <c r="I46" s="862">
        <f>SUM('107 (a)'!J45*100700)/1000000</f>
        <v>3.1217000000000001</v>
      </c>
      <c r="J46" s="862">
        <f>SUM('107 (a)'!K45*100700)/1000000</f>
        <v>2.8195999999999999</v>
      </c>
      <c r="K46" s="607">
        <f t="shared" ref="K46:K55" si="41">I46+J46</f>
        <v>5.9413</v>
      </c>
      <c r="L46" s="608">
        <f>E46+K46+H46</f>
        <v>43.122</v>
      </c>
      <c r="M46" s="604"/>
      <c r="N46" s="887">
        <f>+('107 (a)'!S45*'107 (a)'!AB45)/1000000</f>
        <v>37.719499999999996</v>
      </c>
      <c r="O46" s="271"/>
      <c r="P46" s="606">
        <f t="shared" ref="P46:P55" si="42">N46+O46</f>
        <v>37.719499999999996</v>
      </c>
      <c r="Q46" s="888">
        <f>+('107 (a)'!T45*'107 (a)'!AC45)/1000000</f>
        <v>13.275</v>
      </c>
      <c r="R46" s="606"/>
      <c r="S46" s="888">
        <f t="shared" ref="S46:S55" si="43">Q46+R46</f>
        <v>13.275</v>
      </c>
      <c r="T46" s="271"/>
      <c r="U46" s="271"/>
      <c r="V46" s="607">
        <f t="shared" ref="V46:V55" si="44">T46+U46</f>
        <v>0</v>
      </c>
      <c r="W46" s="608">
        <f>P46+V46+S46</f>
        <v>50.994499999999995</v>
      </c>
      <c r="X46" s="601">
        <f t="shared" si="15"/>
        <v>94.116500000000002</v>
      </c>
      <c r="Z46" s="860">
        <f t="shared" ref="Z46:Z53" si="45">SUM(AG46*2)</f>
        <v>75000</v>
      </c>
      <c r="AA46" s="860">
        <f t="shared" ref="AA46:AA53" si="46">SUM(AH46*2)-500</f>
        <v>10900</v>
      </c>
      <c r="AB46" s="860">
        <f t="shared" ref="AB46:AB53" si="47">SUM(AI46*2)-500</f>
        <v>87700</v>
      </c>
      <c r="AC46" s="860">
        <f t="shared" ref="AC46:AC53" si="48">SUM(AJ46*2)-500</f>
        <v>14100</v>
      </c>
      <c r="AD46" s="860"/>
      <c r="AE46" s="860"/>
      <c r="AG46" s="860">
        <v>37500</v>
      </c>
      <c r="AH46" s="860">
        <v>5700</v>
      </c>
      <c r="AI46" s="860">
        <v>44100</v>
      </c>
      <c r="AJ46" s="860">
        <v>7300</v>
      </c>
      <c r="AK46" s="860"/>
      <c r="AL46" s="860"/>
    </row>
    <row r="47" spans="1:38" s="7" customFormat="1" ht="18.95" customHeight="1">
      <c r="A47" s="241">
        <v>2</v>
      </c>
      <c r="B47" s="854" t="s">
        <v>1322</v>
      </c>
      <c r="C47" s="862">
        <f>+('107 (a)'!G46*'107(b)'!Z47)/1000000</f>
        <v>15.41</v>
      </c>
      <c r="D47" s="862">
        <f>+('107 (a)'!G46*'107(b)'!AA47)/1000000</f>
        <v>2.5070000000000001</v>
      </c>
      <c r="E47" s="875">
        <f t="shared" si="39"/>
        <v>17.917000000000002</v>
      </c>
      <c r="F47" s="862">
        <f>+('107 (a)'!H46*'107(b)'!AB47)/1000000</f>
        <v>3.258</v>
      </c>
      <c r="G47" s="869">
        <f>+('107 (a)'!H46*'107(b)'!AC47)/1000000</f>
        <v>0.39240000000000003</v>
      </c>
      <c r="H47" s="875">
        <f t="shared" si="40"/>
        <v>3.6503999999999999</v>
      </c>
      <c r="I47" s="862">
        <f>SUM('107 (a)'!J46*100700)/1000000</f>
        <v>0</v>
      </c>
      <c r="J47" s="862">
        <f>SUM('107 (a)'!K46*100700)/1000000</f>
        <v>0</v>
      </c>
      <c r="K47" s="564">
        <f t="shared" si="41"/>
        <v>0</v>
      </c>
      <c r="L47" s="565">
        <f>E47+K47</f>
        <v>17.917000000000002</v>
      </c>
      <c r="M47" s="604"/>
      <c r="N47" s="887">
        <f>+('107 (a)'!S46*'107 (a)'!AB46)/1000000</f>
        <v>0</v>
      </c>
      <c r="O47" s="238"/>
      <c r="P47" s="239">
        <f t="shared" si="42"/>
        <v>0</v>
      </c>
      <c r="Q47" s="888">
        <f>+('107 (a)'!T46*'107 (a)'!AC46)/1000000</f>
        <v>0</v>
      </c>
      <c r="R47" s="239"/>
      <c r="S47" s="239">
        <f t="shared" si="43"/>
        <v>0</v>
      </c>
      <c r="T47" s="238"/>
      <c r="U47" s="238"/>
      <c r="V47" s="564">
        <f t="shared" si="44"/>
        <v>0</v>
      </c>
      <c r="W47" s="565">
        <f>P47+V47</f>
        <v>0</v>
      </c>
      <c r="X47" s="601">
        <f t="shared" si="15"/>
        <v>17.917000000000002</v>
      </c>
      <c r="Z47" s="860">
        <f t="shared" si="45"/>
        <v>67000</v>
      </c>
      <c r="AA47" s="860">
        <f t="shared" si="46"/>
        <v>10900</v>
      </c>
      <c r="AB47" s="860">
        <f t="shared" si="47"/>
        <v>90500</v>
      </c>
      <c r="AC47" s="860">
        <f t="shared" si="48"/>
        <v>10900</v>
      </c>
      <c r="AD47" s="860"/>
      <c r="AE47" s="860"/>
      <c r="AG47" s="860">
        <v>33500</v>
      </c>
      <c r="AH47" s="860">
        <v>5700</v>
      </c>
      <c r="AI47" s="860">
        <v>45500</v>
      </c>
      <c r="AJ47" s="860">
        <v>5700</v>
      </c>
      <c r="AK47" s="860"/>
      <c r="AL47" s="860"/>
    </row>
    <row r="48" spans="1:38" s="7" customFormat="1" ht="18.95" customHeight="1">
      <c r="A48" s="241"/>
      <c r="B48" s="855" t="s">
        <v>1324</v>
      </c>
      <c r="C48" s="862">
        <f>+('107 (a)'!G47*'107(b)'!Z48)/1000000</f>
        <v>0</v>
      </c>
      <c r="D48" s="862">
        <f>+('107 (a)'!G47*'107(b)'!AA48)/1000000</f>
        <v>0</v>
      </c>
      <c r="E48" s="875"/>
      <c r="F48" s="862">
        <f>+('107 (a)'!H47*'107(b)'!AB48)/1000000</f>
        <v>7.8470000000000004</v>
      </c>
      <c r="G48" s="869">
        <f>+('107 (a)'!H47*'107(b)'!AC48)/1000000</f>
        <v>1.6637999999999999</v>
      </c>
      <c r="H48" s="875"/>
      <c r="I48" s="862">
        <f>SUM('107 (a)'!J47*100700)/1000000</f>
        <v>3.0209999999999999</v>
      </c>
      <c r="J48" s="862">
        <f>SUM('107 (a)'!K47*100700)/1000000</f>
        <v>0</v>
      </c>
      <c r="K48" s="564"/>
      <c r="L48" s="565"/>
      <c r="M48" s="604"/>
      <c r="N48" s="887">
        <f>+('107 (a)'!S47*'107 (a)'!AB47)/1000000</f>
        <v>0</v>
      </c>
      <c r="O48" s="238"/>
      <c r="P48" s="239"/>
      <c r="Q48" s="888">
        <f>+('107 (a)'!T47*'107 (a)'!AC47)/1000000</f>
        <v>0</v>
      </c>
      <c r="R48" s="239"/>
      <c r="S48" s="239"/>
      <c r="T48" s="238"/>
      <c r="U48" s="238"/>
      <c r="V48" s="564"/>
      <c r="W48" s="565"/>
      <c r="X48" s="601"/>
      <c r="Z48" s="860">
        <f t="shared" si="45"/>
        <v>67000</v>
      </c>
      <c r="AA48" s="860">
        <f t="shared" si="46"/>
        <v>10900</v>
      </c>
      <c r="AB48" s="860">
        <f t="shared" si="47"/>
        <v>66500</v>
      </c>
      <c r="AC48" s="860">
        <f t="shared" si="48"/>
        <v>14100</v>
      </c>
      <c r="AD48" s="860"/>
      <c r="AE48" s="860"/>
      <c r="AG48" s="860">
        <v>33500</v>
      </c>
      <c r="AH48" s="860">
        <v>5700</v>
      </c>
      <c r="AI48" s="860">
        <v>33500</v>
      </c>
      <c r="AJ48" s="860">
        <v>7300</v>
      </c>
      <c r="AK48" s="860"/>
      <c r="AL48" s="860"/>
    </row>
    <row r="49" spans="1:38" s="7" customFormat="1" ht="18.95" customHeight="1">
      <c r="A49" s="241"/>
      <c r="B49" s="854" t="s">
        <v>372</v>
      </c>
      <c r="C49" s="862">
        <f>+('107 (a)'!G48*'107(b)'!Z49)/1000000</f>
        <v>0</v>
      </c>
      <c r="D49" s="862">
        <f>+('107 (a)'!G48*'107(b)'!AA49)/1000000</f>
        <v>0</v>
      </c>
      <c r="E49" s="875"/>
      <c r="F49" s="862">
        <f>+('107 (a)'!H48*'107(b)'!AB49)/1000000</f>
        <v>6.9160000000000004</v>
      </c>
      <c r="G49" s="869">
        <f>+('107 (a)'!H48*'107(b)'!AC49)/1000000</f>
        <v>1.4663999999999999</v>
      </c>
      <c r="H49" s="875"/>
      <c r="I49" s="862">
        <f>SUM('107 (a)'!J48*100700)/1000000</f>
        <v>0</v>
      </c>
      <c r="J49" s="862">
        <f>SUM('107 (a)'!K48*100700)/1000000</f>
        <v>0</v>
      </c>
      <c r="K49" s="564"/>
      <c r="L49" s="565"/>
      <c r="M49" s="604"/>
      <c r="N49" s="887">
        <f>+('107 (a)'!S48*'107 (a)'!AB48)/1000000</f>
        <v>0</v>
      </c>
      <c r="O49" s="238"/>
      <c r="P49" s="239"/>
      <c r="Q49" s="888">
        <f>+('107 (a)'!T48*'107 (a)'!AC48)/1000000</f>
        <v>0</v>
      </c>
      <c r="R49" s="239"/>
      <c r="S49" s="239"/>
      <c r="T49" s="238"/>
      <c r="U49" s="238"/>
      <c r="V49" s="564"/>
      <c r="W49" s="565"/>
      <c r="X49" s="601"/>
      <c r="Z49" s="860">
        <f t="shared" si="45"/>
        <v>67000</v>
      </c>
      <c r="AA49" s="860">
        <f t="shared" si="46"/>
        <v>10900</v>
      </c>
      <c r="AB49" s="860">
        <f t="shared" si="47"/>
        <v>66500</v>
      </c>
      <c r="AC49" s="860">
        <f t="shared" si="48"/>
        <v>14100</v>
      </c>
      <c r="AD49" s="860"/>
      <c r="AE49" s="860"/>
      <c r="AG49" s="860">
        <v>33500</v>
      </c>
      <c r="AH49" s="860">
        <v>5700</v>
      </c>
      <c r="AI49" s="860">
        <v>33500</v>
      </c>
      <c r="AJ49" s="860">
        <v>7300</v>
      </c>
      <c r="AK49" s="860"/>
      <c r="AL49" s="860"/>
    </row>
    <row r="50" spans="1:38" s="7" customFormat="1" ht="18.95" customHeight="1">
      <c r="A50" s="241"/>
      <c r="B50" s="854" t="s">
        <v>1312</v>
      </c>
      <c r="C50" s="862">
        <f>+('107 (a)'!G49*'107(b)'!Z50)/1000000</f>
        <v>15.456</v>
      </c>
      <c r="D50" s="862">
        <f>+('107 (a)'!G49*'107(b)'!AA50)/1000000</f>
        <v>2.6160000000000001</v>
      </c>
      <c r="E50" s="875"/>
      <c r="F50" s="862">
        <f>+('107 (a)'!H49*'107(b)'!AB50)/1000000</f>
        <v>8.4923999999999999</v>
      </c>
      <c r="G50" s="869">
        <f>+('107 (a)'!H49*'107(b)'!AC50)/1000000</f>
        <v>1.1843999999999999</v>
      </c>
      <c r="H50" s="875"/>
      <c r="I50" s="862">
        <f>SUM('107 (a)'!J49*100700)/1000000</f>
        <v>4.6322000000000001</v>
      </c>
      <c r="J50" s="862">
        <f>SUM('107 (a)'!K49*100700)/1000000</f>
        <v>2.1147</v>
      </c>
      <c r="K50" s="564"/>
      <c r="L50" s="565"/>
      <c r="M50" s="604"/>
      <c r="N50" s="887">
        <f>+('107 (a)'!S49*'107 (a)'!AB49)/1000000</f>
        <v>23.287800000000001</v>
      </c>
      <c r="O50" s="238"/>
      <c r="P50" s="239"/>
      <c r="Q50" s="888">
        <f>+('107 (a)'!T49*'107 (a)'!AC49)/1000000</f>
        <v>0</v>
      </c>
      <c r="R50" s="239"/>
      <c r="S50" s="239"/>
      <c r="T50" s="238"/>
      <c r="U50" s="238"/>
      <c r="V50" s="564"/>
      <c r="W50" s="565"/>
      <c r="X50" s="601"/>
      <c r="Z50" s="860">
        <f t="shared" si="45"/>
        <v>64400</v>
      </c>
      <c r="AA50" s="860">
        <f t="shared" si="46"/>
        <v>10900</v>
      </c>
      <c r="AB50" s="860">
        <f t="shared" si="47"/>
        <v>101100</v>
      </c>
      <c r="AC50" s="860">
        <f t="shared" si="48"/>
        <v>14100</v>
      </c>
      <c r="AD50" s="860"/>
      <c r="AE50" s="860"/>
      <c r="AG50" s="860">
        <v>32200</v>
      </c>
      <c r="AH50" s="860">
        <v>5700</v>
      </c>
      <c r="AI50" s="860">
        <v>50800</v>
      </c>
      <c r="AJ50" s="860">
        <v>7300</v>
      </c>
      <c r="AK50" s="860"/>
      <c r="AL50" s="860"/>
    </row>
    <row r="51" spans="1:38" s="7" customFormat="1" ht="18.95" customHeight="1">
      <c r="A51" s="241"/>
      <c r="B51" s="854" t="s">
        <v>1313</v>
      </c>
      <c r="C51" s="862">
        <f>+('107 (a)'!G50*'107(b)'!Z51)/1000000</f>
        <v>5.7960000000000003</v>
      </c>
      <c r="D51" s="862">
        <f>+('107 (a)'!G50*'107(b)'!AA51)/1000000</f>
        <v>0.98099999999999998</v>
      </c>
      <c r="E51" s="875"/>
      <c r="F51" s="862">
        <f>+('107 (a)'!H50*'107(b)'!AB51)/1000000</f>
        <v>0</v>
      </c>
      <c r="G51" s="869">
        <f>+('107 (a)'!H50*'107(b)'!AC51)/1000000</f>
        <v>0</v>
      </c>
      <c r="H51" s="875"/>
      <c r="I51" s="862">
        <f>SUM('107 (a)'!J50*100700)/1000000</f>
        <v>0</v>
      </c>
      <c r="J51" s="862">
        <f>SUM('107 (a)'!K50*100700)/1000000</f>
        <v>0</v>
      </c>
      <c r="K51" s="564"/>
      <c r="L51" s="565"/>
      <c r="M51" s="604"/>
      <c r="N51" s="887">
        <f>+('107 (a)'!S50*'107 (a)'!AB50)/1000000</f>
        <v>0</v>
      </c>
      <c r="O51" s="238"/>
      <c r="P51" s="239"/>
      <c r="Q51" s="888">
        <f>+('107 (a)'!T50*'107 (a)'!AC50)/1000000</f>
        <v>0</v>
      </c>
      <c r="R51" s="239"/>
      <c r="S51" s="239"/>
      <c r="T51" s="238"/>
      <c r="U51" s="238"/>
      <c r="V51" s="564"/>
      <c r="W51" s="565"/>
      <c r="X51" s="601"/>
      <c r="Z51" s="860">
        <f t="shared" si="45"/>
        <v>64400</v>
      </c>
      <c r="AA51" s="860">
        <f t="shared" si="46"/>
        <v>10900</v>
      </c>
      <c r="AB51" s="860">
        <f t="shared" si="47"/>
        <v>66500</v>
      </c>
      <c r="AC51" s="860">
        <f t="shared" si="48"/>
        <v>14100</v>
      </c>
      <c r="AD51" s="860"/>
      <c r="AE51" s="860"/>
      <c r="AG51" s="860">
        <v>32200</v>
      </c>
      <c r="AH51" s="860">
        <v>5700</v>
      </c>
      <c r="AI51" s="860">
        <v>33500</v>
      </c>
      <c r="AJ51" s="860">
        <v>7300</v>
      </c>
      <c r="AK51" s="860"/>
      <c r="AL51" s="860"/>
    </row>
    <row r="52" spans="1:38" s="7" customFormat="1" ht="18.95" customHeight="1">
      <c r="A52" s="241">
        <v>3</v>
      </c>
      <c r="B52" s="242" t="s">
        <v>1344</v>
      </c>
      <c r="C52" s="862">
        <f>+('107 (a)'!G51*'107(b)'!Z52)/1000000</f>
        <v>1.5456000000000001</v>
      </c>
      <c r="D52" s="862">
        <f>+('107 (a)'!G51*'107(b)'!AA52)/1000000</f>
        <v>0.2616</v>
      </c>
      <c r="E52" s="875">
        <f t="shared" si="39"/>
        <v>1.8072000000000001</v>
      </c>
      <c r="F52" s="862">
        <f>+('107 (a)'!H51*'107(b)'!AB52)/1000000</f>
        <v>0</v>
      </c>
      <c r="G52" s="869">
        <f>+('107 (a)'!H51*'107(b)'!AC52)/1000000</f>
        <v>0</v>
      </c>
      <c r="H52" s="875">
        <f t="shared" si="40"/>
        <v>0</v>
      </c>
      <c r="I52" s="862">
        <f>SUM('107 (a)'!J51*100700)/1000000</f>
        <v>0</v>
      </c>
      <c r="J52" s="862">
        <f>SUM('107 (a)'!K51*100700)/1000000</f>
        <v>0</v>
      </c>
      <c r="K52" s="564">
        <f t="shared" si="41"/>
        <v>0</v>
      </c>
      <c r="L52" s="565">
        <f>E52+K52</f>
        <v>1.8072000000000001</v>
      </c>
      <c r="M52" s="604"/>
      <c r="N52" s="887">
        <f>+('107 (a)'!S51*'107 (a)'!AB51)/1000000</f>
        <v>0</v>
      </c>
      <c r="O52" s="238"/>
      <c r="P52" s="239">
        <f t="shared" si="42"/>
        <v>0</v>
      </c>
      <c r="Q52" s="888">
        <f>+('107 (a)'!T51*'107 (a)'!AC51)/1000000</f>
        <v>0</v>
      </c>
      <c r="R52" s="239"/>
      <c r="S52" s="239">
        <f t="shared" si="43"/>
        <v>0</v>
      </c>
      <c r="T52" s="238"/>
      <c r="U52" s="238"/>
      <c r="V52" s="564">
        <f t="shared" si="44"/>
        <v>0</v>
      </c>
      <c r="W52" s="565">
        <f>P52+V52</f>
        <v>0</v>
      </c>
      <c r="X52" s="601">
        <f t="shared" si="15"/>
        <v>1.8072000000000001</v>
      </c>
      <c r="Z52" s="860">
        <f t="shared" si="45"/>
        <v>64400</v>
      </c>
      <c r="AA52" s="860">
        <f t="shared" si="46"/>
        <v>10900</v>
      </c>
      <c r="AB52" s="860">
        <f t="shared" si="47"/>
        <v>66500</v>
      </c>
      <c r="AC52" s="860">
        <f t="shared" si="48"/>
        <v>14100</v>
      </c>
      <c r="AD52" s="860"/>
      <c r="AE52" s="860"/>
      <c r="AG52" s="860">
        <v>32200</v>
      </c>
      <c r="AH52" s="860">
        <v>5700</v>
      </c>
      <c r="AI52" s="860">
        <v>33500</v>
      </c>
      <c r="AJ52" s="860">
        <v>7300</v>
      </c>
      <c r="AK52" s="860"/>
      <c r="AL52" s="860"/>
    </row>
    <row r="53" spans="1:38" s="7" customFormat="1" ht="18.95" customHeight="1">
      <c r="A53" s="241">
        <v>4</v>
      </c>
      <c r="B53" s="854" t="s">
        <v>423</v>
      </c>
      <c r="C53" s="862">
        <f>+('107 (a)'!G52*'107(b)'!Z53)/1000000</f>
        <v>7.0224000000000002</v>
      </c>
      <c r="D53" s="862">
        <f>+('107 (a)'!G52*'107(b)'!AA53)/1000000</f>
        <v>1.2425999999999999</v>
      </c>
      <c r="E53" s="875">
        <f t="shared" si="39"/>
        <v>8.2650000000000006</v>
      </c>
      <c r="F53" s="862">
        <f>+('107 (a)'!H52*'107(b)'!AB53)/1000000</f>
        <v>3.1572</v>
      </c>
      <c r="G53" s="869">
        <f>+('107 (a)'!H52*'107(b)'!AC53)/1000000</f>
        <v>0.50760000000000005</v>
      </c>
      <c r="H53" s="875">
        <f t="shared" si="40"/>
        <v>3.6648000000000001</v>
      </c>
      <c r="I53" s="862">
        <f>SUM('107 (a)'!J52*100700)/1000000</f>
        <v>3.0209999999999999</v>
      </c>
      <c r="J53" s="862">
        <f>SUM('107 (a)'!K52*100700)/1000000</f>
        <v>1.6112</v>
      </c>
      <c r="K53" s="564">
        <f t="shared" si="41"/>
        <v>4.6322000000000001</v>
      </c>
      <c r="L53" s="565">
        <f>E53+K53</f>
        <v>12.897200000000002</v>
      </c>
      <c r="M53" s="604"/>
      <c r="N53" s="887">
        <f>+('107 (a)'!S52*'107 (a)'!AB52)/1000000</f>
        <v>0</v>
      </c>
      <c r="O53" s="238"/>
      <c r="P53" s="239">
        <f t="shared" si="42"/>
        <v>0</v>
      </c>
      <c r="Q53" s="888">
        <f>+('107 (a)'!T52*'107 (a)'!AC52)/1000000</f>
        <v>0</v>
      </c>
      <c r="R53" s="239"/>
      <c r="S53" s="239">
        <f t="shared" si="43"/>
        <v>0</v>
      </c>
      <c r="T53" s="238"/>
      <c r="U53" s="238"/>
      <c r="V53" s="564">
        <f t="shared" si="44"/>
        <v>0</v>
      </c>
      <c r="W53" s="565">
        <f>P53+V53</f>
        <v>0</v>
      </c>
      <c r="X53" s="601">
        <f t="shared" si="15"/>
        <v>12.897200000000002</v>
      </c>
      <c r="Z53" s="860">
        <f t="shared" si="45"/>
        <v>61600</v>
      </c>
      <c r="AA53" s="860">
        <f t="shared" si="46"/>
        <v>10900</v>
      </c>
      <c r="AB53" s="860">
        <f t="shared" si="47"/>
        <v>87700</v>
      </c>
      <c r="AC53" s="860">
        <f t="shared" si="48"/>
        <v>14100</v>
      </c>
      <c r="AD53" s="860"/>
      <c r="AE53" s="860"/>
      <c r="AG53" s="860">
        <v>30800</v>
      </c>
      <c r="AH53" s="860">
        <v>5700</v>
      </c>
      <c r="AI53" s="860">
        <v>44100</v>
      </c>
      <c r="AJ53" s="860">
        <v>7300</v>
      </c>
      <c r="AK53" s="860"/>
      <c r="AL53" s="860"/>
    </row>
    <row r="54" spans="1:38" s="7" customFormat="1" ht="18.95" customHeight="1">
      <c r="A54" s="241">
        <v>5</v>
      </c>
      <c r="B54" s="242"/>
      <c r="C54" s="238"/>
      <c r="D54" s="238"/>
      <c r="E54" s="875">
        <f t="shared" si="39"/>
        <v>0</v>
      </c>
      <c r="F54" s="862">
        <f>+('107 (a)'!H53*'107(b)'!AB54)/1000000</f>
        <v>0</v>
      </c>
      <c r="G54" s="869">
        <f>+('107 (a)'!H53*'107(b)'!AC54)/1000000</f>
        <v>0</v>
      </c>
      <c r="H54" s="875">
        <f t="shared" si="40"/>
        <v>0</v>
      </c>
      <c r="I54" s="862">
        <f>SUM('107 (a)'!J53*100700)/1000000</f>
        <v>0</v>
      </c>
      <c r="J54" s="862">
        <f>SUM('107 (a)'!K53*100700)/1000000</f>
        <v>0</v>
      </c>
      <c r="K54" s="564">
        <f t="shared" si="41"/>
        <v>0</v>
      </c>
      <c r="L54" s="565">
        <f>E54+K54</f>
        <v>0</v>
      </c>
      <c r="M54" s="604"/>
      <c r="N54" s="887">
        <f>+('107 (a)'!S53*'107 (a)'!AB53)/1000000</f>
        <v>0</v>
      </c>
      <c r="O54" s="238"/>
      <c r="P54" s="239">
        <f t="shared" si="42"/>
        <v>0</v>
      </c>
      <c r="Q54" s="888">
        <f>+('107 (a)'!T53*'107 (a)'!AC53)/1000000</f>
        <v>0</v>
      </c>
      <c r="R54" s="239"/>
      <c r="S54" s="239">
        <f t="shared" si="43"/>
        <v>0</v>
      </c>
      <c r="T54" s="238"/>
      <c r="U54" s="238"/>
      <c r="V54" s="564">
        <f t="shared" si="44"/>
        <v>0</v>
      </c>
      <c r="W54" s="565">
        <f>P54+V54</f>
        <v>0</v>
      </c>
      <c r="X54" s="601">
        <f t="shared" si="15"/>
        <v>0</v>
      </c>
      <c r="Z54" s="860"/>
      <c r="AA54" s="860"/>
      <c r="AB54" s="860"/>
      <c r="AC54" s="860"/>
      <c r="AD54" s="860"/>
      <c r="AE54" s="860"/>
      <c r="AG54" s="860"/>
      <c r="AH54" s="860"/>
      <c r="AI54" s="860"/>
      <c r="AJ54" s="860"/>
      <c r="AK54" s="860"/>
      <c r="AL54" s="860"/>
    </row>
    <row r="55" spans="1:38" s="7" customFormat="1" ht="18.95" customHeight="1">
      <c r="A55" s="561">
        <v>6</v>
      </c>
      <c r="B55" s="562"/>
      <c r="C55" s="359"/>
      <c r="D55" s="237"/>
      <c r="E55" s="876">
        <f t="shared" si="39"/>
        <v>0</v>
      </c>
      <c r="F55" s="862">
        <f>+('107 (a)'!H54*'107(b)'!AB55)/1000000</f>
        <v>0</v>
      </c>
      <c r="G55" s="869">
        <f>+('107 (a)'!H54*'107(b)'!AC55)/1000000</f>
        <v>0</v>
      </c>
      <c r="H55" s="877">
        <f t="shared" si="40"/>
        <v>0</v>
      </c>
      <c r="I55" s="862">
        <f>SUM('107 (a)'!J54*100700)/1000000</f>
        <v>13.7959</v>
      </c>
      <c r="J55" s="862">
        <f>SUM('107 (a)'!K54*100700)/1000000</f>
        <v>6.5454999999999997</v>
      </c>
      <c r="K55" s="574">
        <f t="shared" si="41"/>
        <v>20.3414</v>
      </c>
      <c r="L55" s="565">
        <f>E55+K55</f>
        <v>20.3414</v>
      </c>
      <c r="M55" s="604"/>
      <c r="N55" s="887">
        <f>+('107 (a)'!S54*'107 (a)'!AB54)/1000000</f>
        <v>0</v>
      </c>
      <c r="O55" s="237"/>
      <c r="P55" s="198">
        <f t="shared" si="42"/>
        <v>0</v>
      </c>
      <c r="Q55" s="888">
        <f>+('107 (a)'!T54*'107 (a)'!AC54)/1000000</f>
        <v>0</v>
      </c>
      <c r="R55" s="563"/>
      <c r="S55" s="563">
        <f t="shared" si="43"/>
        <v>0</v>
      </c>
      <c r="T55" s="359"/>
      <c r="U55" s="237"/>
      <c r="V55" s="574">
        <f t="shared" si="44"/>
        <v>0</v>
      </c>
      <c r="W55" s="565">
        <f>P55+V55</f>
        <v>0</v>
      </c>
      <c r="X55" s="601">
        <f t="shared" si="15"/>
        <v>20.3414</v>
      </c>
      <c r="Z55" s="860"/>
      <c r="AA55" s="860"/>
      <c r="AB55" s="860"/>
      <c r="AC55" s="860"/>
      <c r="AD55" s="860"/>
      <c r="AE55" s="860"/>
      <c r="AG55" s="860"/>
      <c r="AH55" s="860"/>
      <c r="AI55" s="860"/>
      <c r="AJ55" s="860"/>
      <c r="AK55" s="860"/>
      <c r="AL55" s="860"/>
    </row>
    <row r="56" spans="1:38" ht="20.100000000000001" customHeight="1">
      <c r="A56" s="1521" t="s">
        <v>752</v>
      </c>
      <c r="B56" s="1522"/>
      <c r="C56" s="865">
        <f>SUM(C46:C54)</f>
        <v>62.404999999999994</v>
      </c>
      <c r="D56" s="865">
        <f t="shared" ref="D56:L56" si="49">SUM(D46:D54)</f>
        <v>10.104299999999999</v>
      </c>
      <c r="E56" s="865">
        <f t="shared" si="49"/>
        <v>47.660300000000007</v>
      </c>
      <c r="F56" s="865">
        <f t="shared" si="49"/>
        <v>44.75500000000001</v>
      </c>
      <c r="G56" s="865">
        <f t="shared" si="49"/>
        <v>7.6398000000000001</v>
      </c>
      <c r="H56" s="865">
        <f t="shared" si="49"/>
        <v>24.8248</v>
      </c>
      <c r="I56" s="560">
        <f t="shared" si="49"/>
        <v>13.7959</v>
      </c>
      <c r="J56" s="560">
        <f t="shared" si="49"/>
        <v>6.5455000000000005</v>
      </c>
      <c r="K56" s="575">
        <f t="shared" si="49"/>
        <v>10.573499999999999</v>
      </c>
      <c r="L56" s="560">
        <f t="shared" si="49"/>
        <v>75.743400000000008</v>
      </c>
      <c r="M56" s="604"/>
      <c r="N56" s="864">
        <f>SUM(N46:N54)</f>
        <v>61.007300000000001</v>
      </c>
      <c r="O56" s="560">
        <f t="shared" ref="O56:W56" si="50">SUM(O46:O54)</f>
        <v>0</v>
      </c>
      <c r="P56" s="560">
        <f t="shared" si="50"/>
        <v>37.719499999999996</v>
      </c>
      <c r="Q56" s="864">
        <f t="shared" si="50"/>
        <v>13.275</v>
      </c>
      <c r="R56" s="560">
        <f t="shared" si="50"/>
        <v>0</v>
      </c>
      <c r="S56" s="864">
        <f t="shared" si="50"/>
        <v>13.275</v>
      </c>
      <c r="T56" s="560">
        <f t="shared" si="50"/>
        <v>0</v>
      </c>
      <c r="U56" s="560">
        <f t="shared" si="50"/>
        <v>0</v>
      </c>
      <c r="V56" s="575">
        <f t="shared" si="50"/>
        <v>0</v>
      </c>
      <c r="W56" s="560">
        <f t="shared" si="50"/>
        <v>50.994499999999995</v>
      </c>
      <c r="X56" s="601">
        <f t="shared" si="15"/>
        <v>126.7379</v>
      </c>
      <c r="AG56" s="857"/>
      <c r="AH56" s="857"/>
      <c r="AI56" s="857"/>
      <c r="AJ56" s="857"/>
      <c r="AK56" s="857"/>
      <c r="AL56" s="857"/>
    </row>
    <row r="57" spans="1:38" ht="15" customHeight="1">
      <c r="A57" s="1478" t="s">
        <v>890</v>
      </c>
      <c r="B57" s="1479"/>
      <c r="C57" s="1479"/>
      <c r="D57" s="1479"/>
      <c r="E57" s="1479"/>
      <c r="F57" s="1479"/>
      <c r="G57" s="1479"/>
      <c r="H57" s="1479"/>
      <c r="I57" s="1479"/>
      <c r="J57" s="1479"/>
      <c r="K57" s="1479"/>
      <c r="L57" s="1480"/>
      <c r="M57" s="604"/>
      <c r="N57" s="609"/>
      <c r="O57" s="609"/>
      <c r="P57" s="609"/>
      <c r="Q57" s="609"/>
      <c r="R57" s="609"/>
      <c r="S57" s="609"/>
      <c r="T57" s="609"/>
      <c r="U57" s="609"/>
      <c r="V57" s="609"/>
      <c r="W57" s="609"/>
      <c r="X57" s="600"/>
      <c r="AG57" s="857"/>
      <c r="AH57" s="857"/>
      <c r="AI57" s="857"/>
      <c r="AJ57" s="857"/>
      <c r="AK57" s="857"/>
      <c r="AL57" s="857"/>
    </row>
    <row r="58" spans="1:38" s="7" customFormat="1" ht="18.95" customHeight="1">
      <c r="A58" s="240">
        <v>1</v>
      </c>
      <c r="B58" s="854" t="s">
        <v>1325</v>
      </c>
      <c r="C58" s="862">
        <f>+('107 (a)'!G56*'107(b)'!Z58)/1000000</f>
        <v>10.78</v>
      </c>
      <c r="D58" s="862">
        <f>+('107 (a)'!G56*'107(b)'!AA58)/1000000</f>
        <v>1.9075</v>
      </c>
      <c r="E58" s="869">
        <f>C58+D58</f>
        <v>12.6875</v>
      </c>
      <c r="F58" s="869">
        <f>+('107 (a)'!H56*'107(b)'!AB58)/1000000</f>
        <v>8.4923999999999999</v>
      </c>
      <c r="G58" s="869">
        <f>+('107 (a)'!H56*'107(b)'!AC58)/1000000</f>
        <v>1.1843999999999999</v>
      </c>
      <c r="H58" s="869">
        <f>F58+G58</f>
        <v>9.6768000000000001</v>
      </c>
      <c r="I58" s="862">
        <f>+('107 (a)'!J56*100700)/1000000</f>
        <v>2.9203000000000001</v>
      </c>
      <c r="J58" s="862">
        <f>+('107 (a)'!K56*100700)/1000000</f>
        <v>3.8266</v>
      </c>
      <c r="K58" s="873">
        <f>I58+J58</f>
        <v>6.7469000000000001</v>
      </c>
      <c r="L58" s="608">
        <f>E58+K58+H58</f>
        <v>29.1112</v>
      </c>
      <c r="M58" s="604"/>
      <c r="N58" s="887">
        <f>+('107 (a)'!S56*'107 (a)'!AB56)/1000000</f>
        <v>3.6715</v>
      </c>
      <c r="O58" s="271"/>
      <c r="P58" s="606">
        <f>N58+O58</f>
        <v>3.6715</v>
      </c>
      <c r="Q58" s="888">
        <f>+('107 (a)'!T56*'107 (a)'!AC56)/1000000</f>
        <v>1.4624999999999999</v>
      </c>
      <c r="R58" s="606"/>
      <c r="S58" s="606">
        <f>Q58+R58</f>
        <v>1.4624999999999999</v>
      </c>
      <c r="T58" s="271"/>
      <c r="U58" s="271"/>
      <c r="V58" s="607">
        <f>T58+U58</f>
        <v>0</v>
      </c>
      <c r="W58" s="608">
        <f>P58+V58+S58</f>
        <v>5.1340000000000003</v>
      </c>
      <c r="X58" s="601">
        <f t="shared" si="15"/>
        <v>34.245199999999997</v>
      </c>
      <c r="Z58" s="860">
        <f t="shared" ref="Z58:Z70" si="51">SUM(AG58*2)</f>
        <v>61600</v>
      </c>
      <c r="AA58" s="860">
        <f t="shared" ref="AA58:AA70" si="52">SUM(AH58*2)-500</f>
        <v>10900</v>
      </c>
      <c r="AB58" s="860">
        <f t="shared" ref="AB58:AB70" si="53">SUM(AI58*2)-500</f>
        <v>101100</v>
      </c>
      <c r="AC58" s="860">
        <f t="shared" ref="AC58:AC70" si="54">SUM(AJ58*2)-500</f>
        <v>14100</v>
      </c>
      <c r="AD58" s="860"/>
      <c r="AE58" s="860"/>
      <c r="AG58" s="860">
        <v>30800</v>
      </c>
      <c r="AH58" s="860">
        <v>5700</v>
      </c>
      <c r="AI58" s="860">
        <v>50800</v>
      </c>
      <c r="AJ58" s="860">
        <v>7300</v>
      </c>
      <c r="AK58" s="860"/>
      <c r="AL58" s="860"/>
    </row>
    <row r="59" spans="1:38" s="7" customFormat="1" ht="18.95" customHeight="1">
      <c r="A59" s="241">
        <v>2</v>
      </c>
      <c r="B59" s="854" t="s">
        <v>406</v>
      </c>
      <c r="C59" s="862">
        <f>+('107 (a)'!G57*'107(b)'!Z59)/1000000</f>
        <v>12.622400000000001</v>
      </c>
      <c r="D59" s="862">
        <f>+('107 (a)'!G57*'107(b)'!AA59)/1000000</f>
        <v>2.1364000000000001</v>
      </c>
      <c r="E59" s="869">
        <f t="shared" ref="E59:E70" si="55">C59+D59</f>
        <v>14.758800000000001</v>
      </c>
      <c r="F59" s="869">
        <f>+('107 (a)'!H57*'107(b)'!AB59)/1000000</f>
        <v>13.9518</v>
      </c>
      <c r="G59" s="869">
        <f>+('107 (a)'!H57*'107(b)'!AC59)/1000000</f>
        <v>1.9458</v>
      </c>
      <c r="H59" s="869">
        <f t="shared" ref="H59:H70" si="56">F59+G59</f>
        <v>15.897600000000001</v>
      </c>
      <c r="I59" s="862">
        <f>+('107 (a)'!J57*100700)/1000000</f>
        <v>17.320399999999999</v>
      </c>
      <c r="J59" s="862">
        <f>+('107 (a)'!K57*100700)/1000000</f>
        <v>5.5385</v>
      </c>
      <c r="K59" s="873">
        <f t="shared" ref="K59:K70" si="57">I59+J59</f>
        <v>22.858899999999998</v>
      </c>
      <c r="L59" s="608">
        <f t="shared" ref="L59:L70" si="58">E59+K59+H59</f>
        <v>53.515299999999996</v>
      </c>
      <c r="M59" s="604"/>
      <c r="N59" s="887">
        <f>+('107 (a)'!S57*'107 (a)'!AB57)/1000000</f>
        <v>27.6936</v>
      </c>
      <c r="O59" s="271"/>
      <c r="P59" s="606">
        <f t="shared" ref="P59:P70" si="59">N59+O59</f>
        <v>27.6936</v>
      </c>
      <c r="Q59" s="888">
        <f>+('107 (a)'!T57*'107 (a)'!AC57)/1000000</f>
        <v>5.85</v>
      </c>
      <c r="R59" s="606"/>
      <c r="S59" s="606">
        <f t="shared" ref="S59:S70" si="60">Q59+R59</f>
        <v>5.85</v>
      </c>
      <c r="T59" s="271"/>
      <c r="U59" s="271"/>
      <c r="V59" s="607">
        <f t="shared" ref="V59:V70" si="61">T59+U59</f>
        <v>0</v>
      </c>
      <c r="W59" s="608">
        <f t="shared" ref="W59:W70" si="62">P59+V59+S59</f>
        <v>33.543599999999998</v>
      </c>
      <c r="X59" s="601">
        <f t="shared" ref="X59:X70" si="63">W59+L59</f>
        <v>87.058899999999994</v>
      </c>
      <c r="Z59" s="860">
        <f t="shared" si="51"/>
        <v>64400</v>
      </c>
      <c r="AA59" s="860">
        <f t="shared" si="52"/>
        <v>10900</v>
      </c>
      <c r="AB59" s="860">
        <f t="shared" si="53"/>
        <v>101100</v>
      </c>
      <c r="AC59" s="860">
        <f t="shared" si="54"/>
        <v>14100</v>
      </c>
      <c r="AD59" s="860"/>
      <c r="AE59" s="860"/>
      <c r="AG59" s="860">
        <v>32200</v>
      </c>
      <c r="AH59" s="860">
        <v>5700</v>
      </c>
      <c r="AI59" s="860">
        <v>50800</v>
      </c>
      <c r="AJ59" s="860">
        <v>7300</v>
      </c>
      <c r="AK59" s="860"/>
      <c r="AL59" s="860"/>
    </row>
    <row r="60" spans="1:38" s="7" customFormat="1" ht="18.95" customHeight="1">
      <c r="A60" s="240">
        <v>3</v>
      </c>
      <c r="B60" s="242" t="s">
        <v>1327</v>
      </c>
      <c r="C60" s="862">
        <f>+('107 (a)'!G58*'107(b)'!Z60)/1000000</f>
        <v>0</v>
      </c>
      <c r="D60" s="862">
        <f>+('107 (a)'!G58*'107(b)'!AA60)/1000000</f>
        <v>0</v>
      </c>
      <c r="E60" s="869">
        <f t="shared" si="55"/>
        <v>0</v>
      </c>
      <c r="F60" s="869">
        <f>+('107 (a)'!H58*'107(b)'!AB60)/1000000</f>
        <v>0</v>
      </c>
      <c r="G60" s="869">
        <f>+('107 (a)'!H58*'107(b)'!AC60)/1000000</f>
        <v>0</v>
      </c>
      <c r="H60" s="869">
        <f t="shared" si="56"/>
        <v>0</v>
      </c>
      <c r="I60" s="862">
        <f>+('107 (a)'!J58*100700)/1000000</f>
        <v>1.3090999999999999</v>
      </c>
      <c r="J60" s="862">
        <f>+('107 (a)'!K58*100700)/1000000</f>
        <v>0.60419999999999996</v>
      </c>
      <c r="K60" s="873">
        <f t="shared" si="57"/>
        <v>1.9133</v>
      </c>
      <c r="L60" s="874">
        <f t="shared" si="58"/>
        <v>1.9133</v>
      </c>
      <c r="M60" s="604"/>
      <c r="N60" s="887">
        <f>+('107 (a)'!S58*'107 (a)'!AB58)/1000000</f>
        <v>0</v>
      </c>
      <c r="O60" s="271"/>
      <c r="P60" s="606">
        <f t="shared" si="59"/>
        <v>0</v>
      </c>
      <c r="Q60" s="888">
        <f>+('107 (a)'!T58*'107 (a)'!AC58)/1000000</f>
        <v>0</v>
      </c>
      <c r="R60" s="606"/>
      <c r="S60" s="606">
        <f t="shared" si="60"/>
        <v>0</v>
      </c>
      <c r="T60" s="271"/>
      <c r="U60" s="271"/>
      <c r="V60" s="607">
        <f t="shared" si="61"/>
        <v>0</v>
      </c>
      <c r="W60" s="608">
        <f t="shared" si="62"/>
        <v>0</v>
      </c>
      <c r="X60" s="601">
        <f t="shared" si="63"/>
        <v>1.9133</v>
      </c>
      <c r="Z60" s="860">
        <f t="shared" si="51"/>
        <v>61600</v>
      </c>
      <c r="AA60" s="860">
        <f t="shared" si="52"/>
        <v>10900</v>
      </c>
      <c r="AB60" s="860">
        <f t="shared" si="53"/>
        <v>101100</v>
      </c>
      <c r="AC60" s="860">
        <f t="shared" si="54"/>
        <v>14100</v>
      </c>
      <c r="AD60" s="860"/>
      <c r="AE60" s="860"/>
      <c r="AG60" s="860">
        <v>30800</v>
      </c>
      <c r="AH60" s="860">
        <v>5700</v>
      </c>
      <c r="AI60" s="860">
        <v>50800</v>
      </c>
      <c r="AJ60" s="860">
        <v>7300</v>
      </c>
      <c r="AK60" s="860"/>
      <c r="AL60" s="860"/>
    </row>
    <row r="61" spans="1:38" s="7" customFormat="1" ht="18.95" customHeight="1">
      <c r="A61" s="241">
        <v>4</v>
      </c>
      <c r="B61" s="854" t="s">
        <v>1328</v>
      </c>
      <c r="C61" s="862">
        <f>+('107 (a)'!G59*'107(b)'!Z61)/1000000</f>
        <v>9.24</v>
      </c>
      <c r="D61" s="862">
        <f>+('107 (a)'!G59*'107(b)'!AA61)/1000000</f>
        <v>1.635</v>
      </c>
      <c r="E61" s="869">
        <f t="shared" si="55"/>
        <v>10.875</v>
      </c>
      <c r="F61" s="869">
        <f>+('107 (a)'!H59*'107(b)'!AB61)/1000000</f>
        <v>7.4409999999999998</v>
      </c>
      <c r="G61" s="869">
        <f>+('107 (a)'!H59*'107(b)'!AC61)/1000000</f>
        <v>0.98699999999999999</v>
      </c>
      <c r="H61" s="869">
        <f t="shared" si="56"/>
        <v>8.427999999999999</v>
      </c>
      <c r="I61" s="862">
        <f>+('107 (a)'!J59*100700)/1000000</f>
        <v>6.6462000000000003</v>
      </c>
      <c r="J61" s="862">
        <f>+('107 (a)'!K59*100700)/1000000</f>
        <v>4.1287000000000003</v>
      </c>
      <c r="K61" s="873">
        <f t="shared" si="57"/>
        <v>10.774900000000001</v>
      </c>
      <c r="L61" s="874">
        <f t="shared" si="58"/>
        <v>30.0779</v>
      </c>
      <c r="M61" s="604"/>
      <c r="N61" s="887">
        <f>+('107 (a)'!S59*'107 (a)'!AB59)/1000000</f>
        <v>3.6715</v>
      </c>
      <c r="O61" s="271"/>
      <c r="P61" s="606">
        <f t="shared" si="59"/>
        <v>3.6715</v>
      </c>
      <c r="Q61" s="888">
        <f>+('107 (a)'!T59*'107 (a)'!AC59)/1000000</f>
        <v>0</v>
      </c>
      <c r="R61" s="606"/>
      <c r="S61" s="606">
        <f t="shared" si="60"/>
        <v>0</v>
      </c>
      <c r="T61" s="271"/>
      <c r="U61" s="271"/>
      <c r="V61" s="607">
        <f t="shared" si="61"/>
        <v>0</v>
      </c>
      <c r="W61" s="608">
        <f t="shared" si="62"/>
        <v>3.6715</v>
      </c>
      <c r="X61" s="601">
        <f t="shared" si="63"/>
        <v>33.749400000000001</v>
      </c>
      <c r="Z61" s="860">
        <f t="shared" si="51"/>
        <v>61600</v>
      </c>
      <c r="AA61" s="860">
        <f t="shared" si="52"/>
        <v>10900</v>
      </c>
      <c r="AB61" s="860">
        <f t="shared" si="53"/>
        <v>106300</v>
      </c>
      <c r="AC61" s="860">
        <f t="shared" si="54"/>
        <v>14100</v>
      </c>
      <c r="AD61" s="860"/>
      <c r="AE61" s="860"/>
      <c r="AG61" s="860">
        <v>30800</v>
      </c>
      <c r="AH61" s="860">
        <v>5700</v>
      </c>
      <c r="AI61" s="860">
        <v>53400</v>
      </c>
      <c r="AJ61" s="860">
        <v>7300</v>
      </c>
      <c r="AK61" s="860"/>
      <c r="AL61" s="860"/>
    </row>
    <row r="62" spans="1:38" s="7" customFormat="1" ht="18.95" customHeight="1">
      <c r="A62" s="240">
        <v>5</v>
      </c>
      <c r="B62" s="854" t="s">
        <v>1326</v>
      </c>
      <c r="C62" s="862">
        <f>+('107 (a)'!G60*'107(b)'!Z62)/1000000</f>
        <v>10.5336</v>
      </c>
      <c r="D62" s="862">
        <f>+('107 (a)'!G60*'107(b)'!AA62)/1000000</f>
        <v>1.8638999999999999</v>
      </c>
      <c r="E62" s="869">
        <f t="shared" si="55"/>
        <v>12.397499999999999</v>
      </c>
      <c r="F62" s="869">
        <f>+('107 (a)'!H60*'107(b)'!AB62)/1000000</f>
        <v>0</v>
      </c>
      <c r="G62" s="869">
        <f>+('107 (a)'!H60*'107(b)'!AC62)/1000000</f>
        <v>0</v>
      </c>
      <c r="H62" s="869">
        <f t="shared" si="56"/>
        <v>0</v>
      </c>
      <c r="I62" s="862">
        <f>+('107 (a)'!J60*100700)/1000000</f>
        <v>5.2363999999999997</v>
      </c>
      <c r="J62" s="862">
        <f>+('107 (a)'!K60*100700)/1000000</f>
        <v>4.3300999999999998</v>
      </c>
      <c r="K62" s="873">
        <f t="shared" si="57"/>
        <v>9.5664999999999996</v>
      </c>
      <c r="L62" s="874">
        <f t="shared" si="58"/>
        <v>21.963999999999999</v>
      </c>
      <c r="M62" s="604"/>
      <c r="N62" s="887">
        <f>+('107 (a)'!S60*'107 (a)'!AB60)/1000000</f>
        <v>16.4693</v>
      </c>
      <c r="O62" s="271"/>
      <c r="P62" s="606">
        <f t="shared" si="59"/>
        <v>16.4693</v>
      </c>
      <c r="Q62" s="888">
        <f>+('107 (a)'!T60*'107 (a)'!AC60)/1000000</f>
        <v>0</v>
      </c>
      <c r="R62" s="606"/>
      <c r="S62" s="606">
        <f t="shared" si="60"/>
        <v>0</v>
      </c>
      <c r="T62" s="271"/>
      <c r="U62" s="271"/>
      <c r="V62" s="607">
        <f t="shared" si="61"/>
        <v>0</v>
      </c>
      <c r="W62" s="608">
        <f t="shared" si="62"/>
        <v>16.4693</v>
      </c>
      <c r="X62" s="601">
        <f t="shared" si="63"/>
        <v>38.433300000000003</v>
      </c>
      <c r="Z62" s="860">
        <f t="shared" si="51"/>
        <v>61600</v>
      </c>
      <c r="AA62" s="860">
        <f t="shared" si="52"/>
        <v>10900</v>
      </c>
      <c r="AB62" s="860">
        <f t="shared" si="53"/>
        <v>106300</v>
      </c>
      <c r="AC62" s="860">
        <f t="shared" si="54"/>
        <v>14100</v>
      </c>
      <c r="AD62" s="860"/>
      <c r="AE62" s="860"/>
      <c r="AG62" s="860">
        <v>30800</v>
      </c>
      <c r="AH62" s="860">
        <v>5700</v>
      </c>
      <c r="AI62" s="860">
        <v>53400</v>
      </c>
      <c r="AJ62" s="860">
        <v>7300</v>
      </c>
      <c r="AK62" s="860"/>
      <c r="AL62" s="860"/>
    </row>
    <row r="63" spans="1:38" s="7" customFormat="1" ht="18.95" customHeight="1">
      <c r="A63" s="241">
        <v>6</v>
      </c>
      <c r="B63" s="854" t="s">
        <v>432</v>
      </c>
      <c r="C63" s="862">
        <f>+('107 (a)'!G61*'107(b)'!Z63)/1000000</f>
        <v>10.2872</v>
      </c>
      <c r="D63" s="862">
        <f>+('107 (a)'!G61*'107(b)'!AA63)/1000000</f>
        <v>1.8203</v>
      </c>
      <c r="E63" s="869">
        <f t="shared" si="55"/>
        <v>12.1075</v>
      </c>
      <c r="F63" s="869">
        <f>+('107 (a)'!H61*'107(b)'!AB63)/1000000</f>
        <v>0</v>
      </c>
      <c r="G63" s="869">
        <f>+('107 (a)'!H61*'107(b)'!AC63)/1000000</f>
        <v>0</v>
      </c>
      <c r="H63" s="869">
        <f t="shared" si="56"/>
        <v>0</v>
      </c>
      <c r="I63" s="862">
        <f>+('107 (a)'!J61*100700)/1000000</f>
        <v>0</v>
      </c>
      <c r="J63" s="862">
        <f>+('107 (a)'!K61*100700)/1000000</f>
        <v>0</v>
      </c>
      <c r="K63" s="873">
        <f t="shared" si="57"/>
        <v>0</v>
      </c>
      <c r="L63" s="874">
        <f t="shared" si="58"/>
        <v>12.1075</v>
      </c>
      <c r="M63" s="604"/>
      <c r="N63" s="887">
        <f>+('107 (a)'!S61*'107 (a)'!AB61)/1000000</f>
        <v>17.832999999999998</v>
      </c>
      <c r="O63" s="271"/>
      <c r="P63" s="606">
        <f t="shared" si="59"/>
        <v>17.832999999999998</v>
      </c>
      <c r="Q63" s="888">
        <f>+('107 (a)'!T61*'107 (a)'!AC61)/1000000</f>
        <v>0</v>
      </c>
      <c r="R63" s="606"/>
      <c r="S63" s="606">
        <f t="shared" si="60"/>
        <v>0</v>
      </c>
      <c r="T63" s="271"/>
      <c r="U63" s="271"/>
      <c r="V63" s="607">
        <f t="shared" si="61"/>
        <v>0</v>
      </c>
      <c r="W63" s="608">
        <f t="shared" si="62"/>
        <v>17.832999999999998</v>
      </c>
      <c r="X63" s="601">
        <f t="shared" si="63"/>
        <v>29.9405</v>
      </c>
      <c r="Z63" s="860">
        <f t="shared" si="51"/>
        <v>61600</v>
      </c>
      <c r="AA63" s="860">
        <f t="shared" si="52"/>
        <v>10900</v>
      </c>
      <c r="AB63" s="860">
        <f t="shared" si="53"/>
        <v>106300</v>
      </c>
      <c r="AC63" s="860">
        <f t="shared" si="54"/>
        <v>14100</v>
      </c>
      <c r="AD63" s="860"/>
      <c r="AE63" s="860"/>
      <c r="AG63" s="860">
        <v>30800</v>
      </c>
      <c r="AH63" s="860">
        <v>5700</v>
      </c>
      <c r="AI63" s="860">
        <v>53400</v>
      </c>
      <c r="AJ63" s="860">
        <v>7300</v>
      </c>
      <c r="AK63" s="860"/>
      <c r="AL63" s="860"/>
    </row>
    <row r="64" spans="1:38" s="7" customFormat="1" ht="18.95" customHeight="1">
      <c r="A64" s="240">
        <v>7</v>
      </c>
      <c r="B64" s="242" t="s">
        <v>1329</v>
      </c>
      <c r="C64" s="862">
        <f>+('107 (a)'!G62*'107(b)'!Z64)/1000000</f>
        <v>9.7943999999999996</v>
      </c>
      <c r="D64" s="862">
        <f>+('107 (a)'!G62*'107(b)'!AA64)/1000000</f>
        <v>1.7331000000000001</v>
      </c>
      <c r="E64" s="869">
        <f t="shared" si="55"/>
        <v>11.5275</v>
      </c>
      <c r="F64" s="869">
        <f>+('107 (a)'!H62*'107(b)'!AB64)/1000000</f>
        <v>0</v>
      </c>
      <c r="G64" s="869">
        <f>+('107 (a)'!H62*'107(b)'!AC64)/1000000</f>
        <v>0</v>
      </c>
      <c r="H64" s="869">
        <f t="shared" si="56"/>
        <v>0</v>
      </c>
      <c r="I64" s="862">
        <f>+('107 (a)'!J62*100700)/1000000</f>
        <v>0</v>
      </c>
      <c r="J64" s="862">
        <f>+('107 (a)'!K62*100700)/1000000</f>
        <v>0</v>
      </c>
      <c r="K64" s="873">
        <f t="shared" si="57"/>
        <v>0</v>
      </c>
      <c r="L64" s="874">
        <f t="shared" si="58"/>
        <v>11.5275</v>
      </c>
      <c r="M64" s="604"/>
      <c r="N64" s="887">
        <f>+('107 (a)'!S62*'107 (a)'!AB62)/1000000</f>
        <v>0</v>
      </c>
      <c r="O64" s="271"/>
      <c r="P64" s="606">
        <f t="shared" si="59"/>
        <v>0</v>
      </c>
      <c r="Q64" s="888">
        <f>+('107 (a)'!T62*'107 (a)'!AC62)/1000000</f>
        <v>0</v>
      </c>
      <c r="R64" s="606"/>
      <c r="S64" s="606">
        <f t="shared" si="60"/>
        <v>0</v>
      </c>
      <c r="T64" s="271"/>
      <c r="U64" s="271"/>
      <c r="V64" s="607">
        <f t="shared" si="61"/>
        <v>0</v>
      </c>
      <c r="W64" s="608">
        <f t="shared" si="62"/>
        <v>0</v>
      </c>
      <c r="X64" s="601">
        <f t="shared" si="63"/>
        <v>11.5275</v>
      </c>
      <c r="Z64" s="860">
        <f t="shared" si="51"/>
        <v>61600</v>
      </c>
      <c r="AA64" s="860">
        <f t="shared" si="52"/>
        <v>10900</v>
      </c>
      <c r="AB64" s="860">
        <f t="shared" si="53"/>
        <v>106300</v>
      </c>
      <c r="AC64" s="860">
        <f t="shared" si="54"/>
        <v>14100</v>
      </c>
      <c r="AD64" s="860"/>
      <c r="AE64" s="860"/>
      <c r="AG64" s="860">
        <v>30800</v>
      </c>
      <c r="AH64" s="860">
        <v>5700</v>
      </c>
      <c r="AI64" s="860">
        <v>53400</v>
      </c>
      <c r="AJ64" s="860">
        <v>7300</v>
      </c>
      <c r="AK64" s="860"/>
      <c r="AL64" s="860"/>
    </row>
    <row r="65" spans="1:38" s="7" customFormat="1" ht="18.95" customHeight="1">
      <c r="A65" s="241">
        <v>8</v>
      </c>
      <c r="B65" s="854" t="s">
        <v>1319</v>
      </c>
      <c r="C65" s="862">
        <f>+('107 (a)'!G63*'107(b)'!Z65)/1000000</f>
        <v>13.008800000000001</v>
      </c>
      <c r="D65" s="862">
        <f>+('107 (a)'!G63*'107(b)'!AA65)/1000000</f>
        <v>2.2018</v>
      </c>
      <c r="E65" s="869">
        <f t="shared" si="55"/>
        <v>15.210600000000001</v>
      </c>
      <c r="F65" s="869">
        <f>+('107 (a)'!H63*'107(b)'!AB65)/1000000</f>
        <v>9.0355000000000008</v>
      </c>
      <c r="G65" s="869">
        <f>+('107 (a)'!H63*'107(b)'!AC65)/1000000</f>
        <v>1.1984999999999999</v>
      </c>
      <c r="H65" s="869">
        <f t="shared" si="56"/>
        <v>10.234</v>
      </c>
      <c r="I65" s="862">
        <f>+('107 (a)'!J63*100700)/1000000</f>
        <v>7.6532</v>
      </c>
      <c r="J65" s="862">
        <f>+('107 (a)'!K63*100700)/1000000</f>
        <v>2.6181999999999999</v>
      </c>
      <c r="K65" s="873">
        <f t="shared" si="57"/>
        <v>10.2714</v>
      </c>
      <c r="L65" s="874">
        <f t="shared" si="58"/>
        <v>35.716000000000001</v>
      </c>
      <c r="M65" s="604"/>
      <c r="N65" s="887">
        <f>+('107 (a)'!S63*'107 (a)'!AB63)/1000000</f>
        <v>11.958600000000001</v>
      </c>
      <c r="O65" s="271"/>
      <c r="P65" s="606">
        <f t="shared" si="59"/>
        <v>11.958600000000001</v>
      </c>
      <c r="Q65" s="888">
        <f>+('107 (a)'!T63*'107 (a)'!AC63)/1000000</f>
        <v>7.3125</v>
      </c>
      <c r="R65" s="606"/>
      <c r="S65" s="606">
        <f t="shared" si="60"/>
        <v>7.3125</v>
      </c>
      <c r="T65" s="271"/>
      <c r="U65" s="271"/>
      <c r="V65" s="607">
        <f t="shared" si="61"/>
        <v>0</v>
      </c>
      <c r="W65" s="608">
        <f t="shared" si="62"/>
        <v>19.271100000000001</v>
      </c>
      <c r="X65" s="601">
        <f t="shared" si="63"/>
        <v>54.987099999999998</v>
      </c>
      <c r="Z65" s="860">
        <f t="shared" si="51"/>
        <v>64400</v>
      </c>
      <c r="AA65" s="860">
        <f t="shared" si="52"/>
        <v>10900</v>
      </c>
      <c r="AB65" s="860">
        <f t="shared" si="53"/>
        <v>106300</v>
      </c>
      <c r="AC65" s="860">
        <f t="shared" si="54"/>
        <v>14100</v>
      </c>
      <c r="AD65" s="860"/>
      <c r="AE65" s="860"/>
      <c r="AG65" s="860">
        <v>32200</v>
      </c>
      <c r="AH65" s="860">
        <v>5700</v>
      </c>
      <c r="AI65" s="860">
        <v>53400</v>
      </c>
      <c r="AJ65" s="860">
        <v>7300</v>
      </c>
      <c r="AK65" s="860"/>
      <c r="AL65" s="860"/>
    </row>
    <row r="66" spans="1:38" s="7" customFormat="1" ht="18.95" customHeight="1">
      <c r="A66" s="240">
        <v>9</v>
      </c>
      <c r="B66" s="854" t="s">
        <v>417</v>
      </c>
      <c r="C66" s="862">
        <f>+('107 (a)'!G64*'107(b)'!Z66)/1000000</f>
        <v>11.6424</v>
      </c>
      <c r="D66" s="862">
        <f>+('107 (a)'!G64*'107(b)'!AA66)/1000000</f>
        <v>2.0600999999999998</v>
      </c>
      <c r="E66" s="869">
        <f t="shared" si="55"/>
        <v>13.702500000000001</v>
      </c>
      <c r="F66" s="869">
        <f>+('107 (a)'!H64*'107(b)'!AB66)/1000000</f>
        <v>20.016500000000001</v>
      </c>
      <c r="G66" s="869">
        <f>+('107 (a)'!H64*'107(b)'!AC66)/1000000</f>
        <v>3.0314999999999999</v>
      </c>
      <c r="H66" s="869">
        <f t="shared" si="56"/>
        <v>23.048000000000002</v>
      </c>
      <c r="I66" s="862">
        <f>+('107 (a)'!J64*100700)/1000000</f>
        <v>6.8475999999999999</v>
      </c>
      <c r="J66" s="862">
        <f>+('107 (a)'!K64*100700)/1000000</f>
        <v>2.2153999999999998</v>
      </c>
      <c r="K66" s="873">
        <f t="shared" si="57"/>
        <v>9.0629999999999988</v>
      </c>
      <c r="L66" s="874">
        <f t="shared" si="58"/>
        <v>45.813500000000005</v>
      </c>
      <c r="M66" s="604"/>
      <c r="N66" s="887">
        <f>+('107 (a)'!S64*'107 (a)'!AB64)/1000000</f>
        <v>16.679099999999998</v>
      </c>
      <c r="O66" s="271"/>
      <c r="P66" s="606">
        <f t="shared" si="59"/>
        <v>16.679099999999998</v>
      </c>
      <c r="Q66" s="888">
        <f>+('107 (a)'!T64*'107 (a)'!AC64)/1000000</f>
        <v>0</v>
      </c>
      <c r="R66" s="606"/>
      <c r="S66" s="606">
        <f t="shared" si="60"/>
        <v>0</v>
      </c>
      <c r="T66" s="271"/>
      <c r="U66" s="271"/>
      <c r="V66" s="607">
        <f t="shared" si="61"/>
        <v>0</v>
      </c>
      <c r="W66" s="608">
        <f t="shared" si="62"/>
        <v>16.679099999999998</v>
      </c>
      <c r="X66" s="601">
        <f t="shared" si="63"/>
        <v>62.492600000000003</v>
      </c>
      <c r="Z66" s="860">
        <f t="shared" si="51"/>
        <v>61600</v>
      </c>
      <c r="AA66" s="860">
        <f t="shared" si="52"/>
        <v>10900</v>
      </c>
      <c r="AB66" s="860">
        <f t="shared" si="53"/>
        <v>93100</v>
      </c>
      <c r="AC66" s="860">
        <f t="shared" si="54"/>
        <v>14100</v>
      </c>
      <c r="AD66" s="860"/>
      <c r="AE66" s="860"/>
      <c r="AG66" s="860">
        <v>30800</v>
      </c>
      <c r="AH66" s="860">
        <v>5700</v>
      </c>
      <c r="AI66" s="860">
        <v>46800</v>
      </c>
      <c r="AJ66" s="860">
        <v>7300</v>
      </c>
      <c r="AK66" s="860"/>
      <c r="AL66" s="860"/>
    </row>
    <row r="67" spans="1:38" s="7" customFormat="1" ht="18.95" customHeight="1">
      <c r="A67" s="241">
        <v>10</v>
      </c>
      <c r="B67" s="854" t="s">
        <v>412</v>
      </c>
      <c r="C67" s="862">
        <f>+('107 (a)'!G65*'107(b)'!Z67)/1000000</f>
        <v>10.8416</v>
      </c>
      <c r="D67" s="862">
        <f>+('107 (a)'!G65*'107(b)'!AA67)/1000000</f>
        <v>1.9184000000000001</v>
      </c>
      <c r="E67" s="869">
        <f t="shared" si="55"/>
        <v>12.76</v>
      </c>
      <c r="F67" s="869">
        <f>+('107 (a)'!H65*'107(b)'!AB67)/1000000</f>
        <v>8.77</v>
      </c>
      <c r="G67" s="869">
        <f>+('107 (a)'!H65*'107(b)'!AC67)/1000000</f>
        <v>1.41</v>
      </c>
      <c r="H67" s="869">
        <f t="shared" si="56"/>
        <v>10.18</v>
      </c>
      <c r="I67" s="862">
        <f>+('107 (a)'!J65*100700)/1000000</f>
        <v>4.2294</v>
      </c>
      <c r="J67" s="862">
        <f>+('107 (a)'!K65*100700)/1000000</f>
        <v>3.4238</v>
      </c>
      <c r="K67" s="873">
        <f t="shared" si="57"/>
        <v>7.6532</v>
      </c>
      <c r="L67" s="874">
        <f t="shared" si="58"/>
        <v>30.5932</v>
      </c>
      <c r="M67" s="604"/>
      <c r="N67" s="887">
        <f>+('107 (a)'!S65*'107 (a)'!AB65)/1000000</f>
        <v>11.434100000000001</v>
      </c>
      <c r="O67" s="271"/>
      <c r="P67" s="606">
        <f t="shared" si="59"/>
        <v>11.434100000000001</v>
      </c>
      <c r="Q67" s="888">
        <f>+('107 (a)'!T65*'107 (a)'!AC65)/1000000</f>
        <v>0.29249999999999998</v>
      </c>
      <c r="R67" s="606"/>
      <c r="S67" s="606">
        <f t="shared" si="60"/>
        <v>0.29249999999999998</v>
      </c>
      <c r="T67" s="271"/>
      <c r="U67" s="271"/>
      <c r="V67" s="607">
        <f t="shared" si="61"/>
        <v>0</v>
      </c>
      <c r="W67" s="608">
        <f t="shared" si="62"/>
        <v>11.726600000000001</v>
      </c>
      <c r="X67" s="601">
        <f t="shared" si="63"/>
        <v>42.319800000000001</v>
      </c>
      <c r="Z67" s="860">
        <f t="shared" si="51"/>
        <v>61600</v>
      </c>
      <c r="AA67" s="860">
        <f t="shared" si="52"/>
        <v>10900</v>
      </c>
      <c r="AB67" s="860">
        <f t="shared" si="53"/>
        <v>87700</v>
      </c>
      <c r="AC67" s="860">
        <f t="shared" si="54"/>
        <v>14100</v>
      </c>
      <c r="AD67" s="860"/>
      <c r="AE67" s="860"/>
      <c r="AG67" s="860">
        <v>30800</v>
      </c>
      <c r="AH67" s="860">
        <v>5700</v>
      </c>
      <c r="AI67" s="860">
        <v>44100</v>
      </c>
      <c r="AJ67" s="860">
        <v>7300</v>
      </c>
      <c r="AK67" s="860"/>
      <c r="AL67" s="860"/>
    </row>
    <row r="68" spans="1:38" s="7" customFormat="1" ht="18.95" customHeight="1">
      <c r="A68" s="240">
        <v>11</v>
      </c>
      <c r="B68" s="854" t="s">
        <v>438</v>
      </c>
      <c r="C68" s="862">
        <f>+('107 (a)'!G66*'107(b)'!Z68)/1000000</f>
        <v>12.073600000000001</v>
      </c>
      <c r="D68" s="862">
        <f>+('107 (a)'!G66*'107(b)'!AA68)/1000000</f>
        <v>2.1364000000000001</v>
      </c>
      <c r="E68" s="869">
        <f t="shared" si="55"/>
        <v>14.21</v>
      </c>
      <c r="F68" s="869">
        <f>+('107 (a)'!H66*'107(b)'!AB68)/1000000</f>
        <v>9.5033999999999992</v>
      </c>
      <c r="G68" s="869">
        <f>+('107 (a)'!H66*'107(b)'!AC68)/1000000</f>
        <v>1.3253999999999999</v>
      </c>
      <c r="H68" s="869">
        <f t="shared" si="56"/>
        <v>10.828799999999999</v>
      </c>
      <c r="I68" s="862">
        <f>+('107 (a)'!J66*100700)/1000000</f>
        <v>8.8615999999999993</v>
      </c>
      <c r="J68" s="862">
        <f>+('107 (a)'!K66*100700)/1000000</f>
        <v>4.5315000000000003</v>
      </c>
      <c r="K68" s="873">
        <f t="shared" si="57"/>
        <v>13.3931</v>
      </c>
      <c r="L68" s="874">
        <f t="shared" si="58"/>
        <v>38.431899999999999</v>
      </c>
      <c r="M68" s="604"/>
      <c r="N68" s="887">
        <f>+('107 (a)'!S66*'107 (a)'!AB66)/1000000</f>
        <v>17.308499999999999</v>
      </c>
      <c r="O68" s="271"/>
      <c r="P68" s="606">
        <f t="shared" si="59"/>
        <v>17.308499999999999</v>
      </c>
      <c r="Q68" s="888">
        <f>+('107 (a)'!T66*'107 (a)'!AC66)/1000000</f>
        <v>3.8025000000000002</v>
      </c>
      <c r="R68" s="606"/>
      <c r="S68" s="606">
        <f t="shared" si="60"/>
        <v>3.8025000000000002</v>
      </c>
      <c r="T68" s="271"/>
      <c r="U68" s="271"/>
      <c r="V68" s="607">
        <f t="shared" si="61"/>
        <v>0</v>
      </c>
      <c r="W68" s="608">
        <f t="shared" si="62"/>
        <v>21.110999999999997</v>
      </c>
      <c r="X68" s="601">
        <f t="shared" si="63"/>
        <v>59.542899999999996</v>
      </c>
      <c r="Z68" s="860">
        <f t="shared" si="51"/>
        <v>61600</v>
      </c>
      <c r="AA68" s="860">
        <f t="shared" si="52"/>
        <v>10900</v>
      </c>
      <c r="AB68" s="860">
        <f t="shared" si="53"/>
        <v>101100</v>
      </c>
      <c r="AC68" s="860">
        <f t="shared" si="54"/>
        <v>14100</v>
      </c>
      <c r="AD68" s="860"/>
      <c r="AE68" s="860"/>
      <c r="AG68" s="860">
        <v>30800</v>
      </c>
      <c r="AH68" s="860">
        <v>5700</v>
      </c>
      <c r="AI68" s="860">
        <v>50800</v>
      </c>
      <c r="AJ68" s="860">
        <v>7300</v>
      </c>
      <c r="AK68" s="860"/>
      <c r="AL68" s="860"/>
    </row>
    <row r="69" spans="1:38" s="7" customFormat="1" ht="18.95" customHeight="1">
      <c r="A69" s="241">
        <v>12</v>
      </c>
      <c r="B69" s="854" t="s">
        <v>1440</v>
      </c>
      <c r="C69" s="862">
        <f>+('107 (a)'!G67*'107(b)'!Z69)/1000000</f>
        <v>0</v>
      </c>
      <c r="D69" s="862">
        <f>+('107 (a)'!G67*'107(b)'!AA69)/1000000</f>
        <v>0</v>
      </c>
      <c r="E69" s="869">
        <f t="shared" si="55"/>
        <v>0</v>
      </c>
      <c r="F69" s="869">
        <f>+('107 (a)'!H67*'107(b)'!AB69)/1000000</f>
        <v>0</v>
      </c>
      <c r="G69" s="869">
        <f>+('107 (a)'!H67*'107(b)'!AC69)/1000000</f>
        <v>0</v>
      </c>
      <c r="H69" s="869">
        <f t="shared" si="56"/>
        <v>0</v>
      </c>
      <c r="I69" s="862">
        <f>+('107 (a)'!J67*100700)/1000000</f>
        <v>1.3090999999999999</v>
      </c>
      <c r="J69" s="862">
        <f>+('107 (a)'!K67*100700)/1000000</f>
        <v>0.60419999999999996</v>
      </c>
      <c r="K69" s="873">
        <f t="shared" si="57"/>
        <v>1.9133</v>
      </c>
      <c r="L69" s="874">
        <f t="shared" si="58"/>
        <v>1.9133</v>
      </c>
      <c r="M69" s="604"/>
      <c r="N69" s="887">
        <f>+('107 (a)'!S67*'107 (a)'!AB67)/1000000</f>
        <v>0</v>
      </c>
      <c r="O69" s="271"/>
      <c r="P69" s="606">
        <f t="shared" si="59"/>
        <v>0</v>
      </c>
      <c r="Q69" s="888">
        <f>+('107 (a)'!T67*'107 (a)'!AC67)/1000000</f>
        <v>0</v>
      </c>
      <c r="R69" s="606"/>
      <c r="S69" s="606">
        <f t="shared" si="60"/>
        <v>0</v>
      </c>
      <c r="T69" s="271"/>
      <c r="U69" s="271"/>
      <c r="V69" s="607">
        <f t="shared" si="61"/>
        <v>0</v>
      </c>
      <c r="W69" s="608">
        <f t="shared" si="62"/>
        <v>0</v>
      </c>
      <c r="X69" s="601">
        <f t="shared" si="63"/>
        <v>1.9133</v>
      </c>
      <c r="Z69" s="860">
        <f t="shared" si="51"/>
        <v>61600</v>
      </c>
      <c r="AA69" s="860">
        <f t="shared" si="52"/>
        <v>10900</v>
      </c>
      <c r="AB69" s="860">
        <f t="shared" si="53"/>
        <v>101100</v>
      </c>
      <c r="AC69" s="860">
        <f t="shared" si="54"/>
        <v>14100</v>
      </c>
      <c r="AD69" s="860"/>
      <c r="AE69" s="860"/>
      <c r="AG69" s="860">
        <v>30800</v>
      </c>
      <c r="AH69" s="860">
        <v>5700</v>
      </c>
      <c r="AI69" s="860">
        <v>50800</v>
      </c>
      <c r="AJ69" s="860">
        <v>7300</v>
      </c>
      <c r="AK69" s="860"/>
      <c r="AL69" s="860"/>
    </row>
    <row r="70" spans="1:38" s="7" customFormat="1" ht="18.95" customHeight="1">
      <c r="A70" s="240">
        <v>13</v>
      </c>
      <c r="B70" s="854" t="s">
        <v>1345</v>
      </c>
      <c r="C70" s="862">
        <f>+('107 (a)'!G68*'107(b)'!Z70)/1000000</f>
        <v>3.7576000000000001</v>
      </c>
      <c r="D70" s="862">
        <f>+('107 (a)'!G68*'107(b)'!AA70)/1000000</f>
        <v>0.66490000000000005</v>
      </c>
      <c r="E70" s="869">
        <f t="shared" si="55"/>
        <v>4.4225000000000003</v>
      </c>
      <c r="F70" s="869">
        <f>+('107 (a)'!H68*'107(b)'!AB70)/1000000</f>
        <v>0</v>
      </c>
      <c r="G70" s="869">
        <f>+('107 (a)'!H68*'107(b)'!AC70)/1000000</f>
        <v>0</v>
      </c>
      <c r="H70" s="869">
        <f t="shared" si="56"/>
        <v>0</v>
      </c>
      <c r="I70" s="862">
        <f>+('107 (a)'!J68*100700)/1000000</f>
        <v>0</v>
      </c>
      <c r="J70" s="862">
        <f>+('107 (a)'!K68*100700)/1000000</f>
        <v>0</v>
      </c>
      <c r="K70" s="873">
        <f t="shared" si="57"/>
        <v>0</v>
      </c>
      <c r="L70" s="874">
        <f t="shared" si="58"/>
        <v>4.4225000000000003</v>
      </c>
      <c r="M70" s="604"/>
      <c r="N70" s="887">
        <f>+('107 (a)'!S68*'107 (a)'!AB68)/1000000</f>
        <v>0</v>
      </c>
      <c r="O70" s="271"/>
      <c r="P70" s="606">
        <f t="shared" si="59"/>
        <v>0</v>
      </c>
      <c r="Q70" s="888">
        <f>+('107 (a)'!T68*'107 (a)'!AC68)/1000000</f>
        <v>0</v>
      </c>
      <c r="R70" s="606"/>
      <c r="S70" s="606">
        <f t="shared" si="60"/>
        <v>0</v>
      </c>
      <c r="T70" s="271"/>
      <c r="U70" s="271"/>
      <c r="V70" s="607">
        <f t="shared" si="61"/>
        <v>0</v>
      </c>
      <c r="W70" s="608">
        <f t="shared" si="62"/>
        <v>0</v>
      </c>
      <c r="X70" s="601">
        <f t="shared" si="63"/>
        <v>4.4225000000000003</v>
      </c>
      <c r="Z70" s="860">
        <f t="shared" si="51"/>
        <v>61600</v>
      </c>
      <c r="AA70" s="860">
        <f t="shared" si="52"/>
        <v>10900</v>
      </c>
      <c r="AB70" s="860">
        <f t="shared" si="53"/>
        <v>101100</v>
      </c>
      <c r="AC70" s="860">
        <f t="shared" si="54"/>
        <v>14100</v>
      </c>
      <c r="AD70" s="860"/>
      <c r="AE70" s="860"/>
      <c r="AG70" s="860">
        <v>30800</v>
      </c>
      <c r="AH70" s="860">
        <v>5700</v>
      </c>
      <c r="AI70" s="860">
        <v>50800</v>
      </c>
      <c r="AJ70" s="860">
        <v>7300</v>
      </c>
      <c r="AK70" s="860"/>
      <c r="AL70" s="860"/>
    </row>
    <row r="71" spans="1:38" ht="20.100000000000001" customHeight="1">
      <c r="A71" s="1521" t="s">
        <v>752</v>
      </c>
      <c r="B71" s="1522"/>
      <c r="C71" s="865">
        <f t="shared" ref="C71:L71" si="64">SUM(C58:C70)</f>
        <v>114.58159999999999</v>
      </c>
      <c r="D71" s="865">
        <f t="shared" si="64"/>
        <v>20.0778</v>
      </c>
      <c r="E71" s="865">
        <f t="shared" si="64"/>
        <v>134.65940000000003</v>
      </c>
      <c r="F71" s="865">
        <f t="shared" si="64"/>
        <v>77.210599999999999</v>
      </c>
      <c r="G71" s="865">
        <f t="shared" si="64"/>
        <v>11.082599999999999</v>
      </c>
      <c r="H71" s="865">
        <f t="shared" si="64"/>
        <v>88.293200000000013</v>
      </c>
      <c r="I71" s="865">
        <f t="shared" si="64"/>
        <v>62.333299999999994</v>
      </c>
      <c r="J71" s="865">
        <f t="shared" si="64"/>
        <v>31.821200000000001</v>
      </c>
      <c r="K71" s="866">
        <f t="shared" si="64"/>
        <v>94.154499999999999</v>
      </c>
      <c r="L71" s="864">
        <f t="shared" si="64"/>
        <v>317.1071</v>
      </c>
      <c r="M71" s="604"/>
      <c r="N71" s="560">
        <f t="shared" ref="N71:W71" si="65">SUM(N58:N70)</f>
        <v>126.71919999999999</v>
      </c>
      <c r="O71" s="560">
        <f t="shared" si="65"/>
        <v>0</v>
      </c>
      <c r="P71" s="560">
        <f t="shared" si="65"/>
        <v>126.71919999999999</v>
      </c>
      <c r="Q71" s="560">
        <f t="shared" si="65"/>
        <v>18.72</v>
      </c>
      <c r="R71" s="560">
        <f t="shared" si="65"/>
        <v>0</v>
      </c>
      <c r="S71" s="560">
        <f t="shared" si="65"/>
        <v>18.72</v>
      </c>
      <c r="T71" s="560">
        <f t="shared" si="65"/>
        <v>0</v>
      </c>
      <c r="U71" s="560">
        <f t="shared" si="65"/>
        <v>0</v>
      </c>
      <c r="V71" s="575">
        <f t="shared" si="65"/>
        <v>0</v>
      </c>
      <c r="W71" s="560">
        <f t="shared" si="65"/>
        <v>145.4392</v>
      </c>
      <c r="X71" s="601">
        <f t="shared" si="15"/>
        <v>462.54629999999997</v>
      </c>
      <c r="AG71" s="857"/>
      <c r="AH71" s="857"/>
      <c r="AI71" s="857"/>
      <c r="AJ71" s="857"/>
      <c r="AK71" s="857"/>
      <c r="AL71" s="857"/>
    </row>
    <row r="72" spans="1:38" ht="15" customHeight="1">
      <c r="A72" s="1478" t="s">
        <v>742</v>
      </c>
      <c r="B72" s="1479"/>
      <c r="C72" s="1479"/>
      <c r="D72" s="1479"/>
      <c r="E72" s="1479"/>
      <c r="F72" s="1479"/>
      <c r="G72" s="1479"/>
      <c r="H72" s="1479"/>
      <c r="I72" s="1479"/>
      <c r="J72" s="1479"/>
      <c r="K72" s="1479"/>
      <c r="L72" s="1480"/>
      <c r="M72" s="604"/>
      <c r="N72" s="609"/>
      <c r="O72" s="609"/>
      <c r="P72" s="609"/>
      <c r="Q72" s="609"/>
      <c r="R72" s="609"/>
      <c r="S72" s="609"/>
      <c r="T72" s="609"/>
      <c r="U72" s="609"/>
      <c r="V72" s="609"/>
      <c r="W72" s="609"/>
      <c r="X72" s="600"/>
      <c r="AG72" s="857"/>
      <c r="AH72" s="857"/>
      <c r="AI72" s="857"/>
      <c r="AJ72" s="857"/>
      <c r="AK72" s="857"/>
      <c r="AL72" s="857"/>
    </row>
    <row r="73" spans="1:38" s="7" customFormat="1" ht="20.100000000000001" customHeight="1">
      <c r="A73" s="572">
        <v>1</v>
      </c>
      <c r="B73" s="573"/>
      <c r="C73" s="271"/>
      <c r="D73" s="271"/>
      <c r="E73" s="606">
        <f t="shared" ref="E73:E78" si="66">C73+D73</f>
        <v>0</v>
      </c>
      <c r="F73" s="606"/>
      <c r="G73" s="606"/>
      <c r="H73" s="606">
        <f t="shared" ref="H73:H78" si="67">F73+G73</f>
        <v>0</v>
      </c>
      <c r="I73" s="271"/>
      <c r="J73" s="271"/>
      <c r="K73" s="607">
        <f t="shared" ref="K73:K78" si="68">I73+J73</f>
        <v>0</v>
      </c>
      <c r="L73" s="608">
        <f>E73+K73+H73</f>
        <v>0</v>
      </c>
      <c r="M73" s="604"/>
      <c r="N73" s="271"/>
      <c r="O73" s="271"/>
      <c r="P73" s="606">
        <f t="shared" ref="P73:P78" si="69">N73+O73</f>
        <v>0</v>
      </c>
      <c r="Q73" s="606"/>
      <c r="R73" s="606"/>
      <c r="S73" s="606">
        <f t="shared" ref="S73:S78" si="70">Q73+R73</f>
        <v>0</v>
      </c>
      <c r="T73" s="271"/>
      <c r="U73" s="271"/>
      <c r="V73" s="607">
        <f t="shared" ref="V73:V78" si="71">T73+U73</f>
        <v>0</v>
      </c>
      <c r="W73" s="608">
        <f>P73+V73+S73</f>
        <v>0</v>
      </c>
      <c r="X73" s="601">
        <f t="shared" si="15"/>
        <v>0</v>
      </c>
      <c r="Z73" s="860"/>
      <c r="AA73" s="860"/>
      <c r="AB73" s="860"/>
      <c r="AC73" s="860"/>
      <c r="AD73" s="860"/>
      <c r="AE73" s="860"/>
      <c r="AG73" s="860"/>
      <c r="AH73" s="860"/>
      <c r="AI73" s="860"/>
      <c r="AJ73" s="860"/>
      <c r="AK73" s="860"/>
      <c r="AL73" s="860"/>
    </row>
    <row r="74" spans="1:38" s="7" customFormat="1" ht="20.100000000000001" customHeight="1">
      <c r="A74" s="241">
        <v>2</v>
      </c>
      <c r="B74" s="243"/>
      <c r="C74" s="238"/>
      <c r="D74" s="238"/>
      <c r="E74" s="239">
        <f t="shared" si="66"/>
        <v>0</v>
      </c>
      <c r="F74" s="239"/>
      <c r="G74" s="239"/>
      <c r="H74" s="239">
        <f t="shared" si="67"/>
        <v>0</v>
      </c>
      <c r="I74" s="238"/>
      <c r="J74" s="238"/>
      <c r="K74" s="564">
        <f t="shared" si="68"/>
        <v>0</v>
      </c>
      <c r="L74" s="565">
        <f>E74+K74</f>
        <v>0</v>
      </c>
      <c r="M74" s="604"/>
      <c r="N74" s="238"/>
      <c r="O74" s="238"/>
      <c r="P74" s="239">
        <f t="shared" si="69"/>
        <v>0</v>
      </c>
      <c r="Q74" s="239"/>
      <c r="R74" s="239"/>
      <c r="S74" s="239">
        <f t="shared" si="70"/>
        <v>0</v>
      </c>
      <c r="T74" s="238"/>
      <c r="U74" s="238"/>
      <c r="V74" s="564">
        <f t="shared" si="71"/>
        <v>0</v>
      </c>
      <c r="W74" s="565">
        <f>P74+V74</f>
        <v>0</v>
      </c>
      <c r="X74" s="601">
        <f t="shared" si="15"/>
        <v>0</v>
      </c>
      <c r="Z74" s="860"/>
      <c r="AA74" s="860"/>
      <c r="AB74" s="860"/>
      <c r="AC74" s="860"/>
      <c r="AD74" s="860"/>
      <c r="AE74" s="860"/>
      <c r="AG74" s="860"/>
      <c r="AH74" s="860"/>
      <c r="AI74" s="860"/>
      <c r="AJ74" s="860"/>
      <c r="AK74" s="860"/>
      <c r="AL74" s="860"/>
    </row>
    <row r="75" spans="1:38" s="7" customFormat="1" ht="20.100000000000001" customHeight="1">
      <c r="A75" s="241">
        <v>3</v>
      </c>
      <c r="B75" s="243"/>
      <c r="C75" s="238"/>
      <c r="D75" s="238"/>
      <c r="E75" s="239">
        <f t="shared" si="66"/>
        <v>0</v>
      </c>
      <c r="F75" s="239"/>
      <c r="G75" s="239"/>
      <c r="H75" s="239">
        <f t="shared" si="67"/>
        <v>0</v>
      </c>
      <c r="I75" s="238"/>
      <c r="J75" s="238"/>
      <c r="K75" s="564">
        <f t="shared" si="68"/>
        <v>0</v>
      </c>
      <c r="L75" s="565">
        <f>E75+K75</f>
        <v>0</v>
      </c>
      <c r="M75" s="604"/>
      <c r="N75" s="238"/>
      <c r="O75" s="238"/>
      <c r="P75" s="239">
        <f t="shared" si="69"/>
        <v>0</v>
      </c>
      <c r="Q75" s="239"/>
      <c r="R75" s="239"/>
      <c r="S75" s="239">
        <f t="shared" si="70"/>
        <v>0</v>
      </c>
      <c r="T75" s="238"/>
      <c r="U75" s="238"/>
      <c r="V75" s="564">
        <f t="shared" si="71"/>
        <v>0</v>
      </c>
      <c r="W75" s="565">
        <f>P75+V75</f>
        <v>0</v>
      </c>
      <c r="X75" s="601">
        <f t="shared" si="15"/>
        <v>0</v>
      </c>
      <c r="Z75" s="860"/>
      <c r="AA75" s="860"/>
      <c r="AB75" s="860"/>
      <c r="AC75" s="860"/>
      <c r="AD75" s="860"/>
      <c r="AE75" s="860"/>
      <c r="AG75" s="860"/>
      <c r="AH75" s="860"/>
      <c r="AI75" s="860"/>
      <c r="AJ75" s="860"/>
      <c r="AK75" s="860"/>
      <c r="AL75" s="860"/>
    </row>
    <row r="76" spans="1:38" s="7" customFormat="1" ht="20.100000000000001" customHeight="1">
      <c r="A76" s="241">
        <v>4</v>
      </c>
      <c r="B76" s="243"/>
      <c r="C76" s="238"/>
      <c r="D76" s="238"/>
      <c r="E76" s="239">
        <f t="shared" si="66"/>
        <v>0</v>
      </c>
      <c r="F76" s="239"/>
      <c r="G76" s="239"/>
      <c r="H76" s="239">
        <f t="shared" si="67"/>
        <v>0</v>
      </c>
      <c r="I76" s="238"/>
      <c r="J76" s="238"/>
      <c r="K76" s="564">
        <f t="shared" si="68"/>
        <v>0</v>
      </c>
      <c r="L76" s="565">
        <f>E76+K76</f>
        <v>0</v>
      </c>
      <c r="M76" s="604"/>
      <c r="N76" s="238"/>
      <c r="O76" s="238"/>
      <c r="P76" s="239">
        <f t="shared" si="69"/>
        <v>0</v>
      </c>
      <c r="Q76" s="239"/>
      <c r="R76" s="239"/>
      <c r="S76" s="239">
        <f t="shared" si="70"/>
        <v>0</v>
      </c>
      <c r="T76" s="238"/>
      <c r="U76" s="238"/>
      <c r="V76" s="564">
        <f t="shared" si="71"/>
        <v>0</v>
      </c>
      <c r="W76" s="565">
        <f>P76+V76</f>
        <v>0</v>
      </c>
      <c r="X76" s="601">
        <f t="shared" si="15"/>
        <v>0</v>
      </c>
      <c r="Z76" s="860"/>
      <c r="AA76" s="860"/>
      <c r="AB76" s="860"/>
      <c r="AC76" s="860"/>
      <c r="AD76" s="860"/>
      <c r="AE76" s="860"/>
      <c r="AG76" s="860"/>
      <c r="AH76" s="860"/>
      <c r="AI76" s="860"/>
      <c r="AJ76" s="860"/>
      <c r="AK76" s="860"/>
      <c r="AL76" s="860"/>
    </row>
    <row r="77" spans="1:38" s="7" customFormat="1" ht="20.100000000000001" customHeight="1">
      <c r="A77" s="241">
        <v>5</v>
      </c>
      <c r="B77" s="243"/>
      <c r="C77" s="238"/>
      <c r="D77" s="238"/>
      <c r="E77" s="239">
        <f t="shared" si="66"/>
        <v>0</v>
      </c>
      <c r="F77" s="239"/>
      <c r="G77" s="239"/>
      <c r="H77" s="239">
        <f t="shared" si="67"/>
        <v>0</v>
      </c>
      <c r="I77" s="238"/>
      <c r="J77" s="238"/>
      <c r="K77" s="564">
        <f t="shared" si="68"/>
        <v>0</v>
      </c>
      <c r="L77" s="565">
        <f>E77+K77</f>
        <v>0</v>
      </c>
      <c r="M77" s="604"/>
      <c r="N77" s="238"/>
      <c r="O77" s="238"/>
      <c r="P77" s="239">
        <f t="shared" si="69"/>
        <v>0</v>
      </c>
      <c r="Q77" s="239"/>
      <c r="R77" s="239"/>
      <c r="S77" s="239">
        <f t="shared" si="70"/>
        <v>0</v>
      </c>
      <c r="T77" s="238"/>
      <c r="U77" s="238"/>
      <c r="V77" s="564">
        <f t="shared" si="71"/>
        <v>0</v>
      </c>
      <c r="W77" s="565">
        <f>P77+V77</f>
        <v>0</v>
      </c>
      <c r="X77" s="601">
        <f t="shared" si="15"/>
        <v>0</v>
      </c>
      <c r="Z77" s="860"/>
      <c r="AA77" s="860"/>
      <c r="AB77" s="860"/>
      <c r="AC77" s="860"/>
      <c r="AD77" s="860"/>
      <c r="AE77" s="860"/>
      <c r="AG77" s="860"/>
      <c r="AH77" s="860"/>
      <c r="AI77" s="860"/>
      <c r="AJ77" s="860"/>
      <c r="AK77" s="860"/>
      <c r="AL77" s="860"/>
    </row>
    <row r="78" spans="1:38" s="7" customFormat="1" ht="20.100000000000001" customHeight="1">
      <c r="A78" s="561">
        <v>6</v>
      </c>
      <c r="B78" s="562"/>
      <c r="C78" s="359"/>
      <c r="D78" s="237"/>
      <c r="E78" s="198">
        <f t="shared" si="66"/>
        <v>0</v>
      </c>
      <c r="F78" s="198"/>
      <c r="G78" s="563"/>
      <c r="H78" s="563">
        <f t="shared" si="67"/>
        <v>0</v>
      </c>
      <c r="I78" s="359"/>
      <c r="J78" s="237"/>
      <c r="K78" s="574">
        <f t="shared" si="68"/>
        <v>0</v>
      </c>
      <c r="L78" s="565">
        <f>E78+K78</f>
        <v>0</v>
      </c>
      <c r="M78" s="604"/>
      <c r="N78" s="359"/>
      <c r="O78" s="237"/>
      <c r="P78" s="198">
        <f t="shared" si="69"/>
        <v>0</v>
      </c>
      <c r="Q78" s="198"/>
      <c r="R78" s="563"/>
      <c r="S78" s="563">
        <f t="shared" si="70"/>
        <v>0</v>
      </c>
      <c r="T78" s="359"/>
      <c r="U78" s="237"/>
      <c r="V78" s="574">
        <f t="shared" si="71"/>
        <v>0</v>
      </c>
      <c r="W78" s="565">
        <f>P78+V78</f>
        <v>0</v>
      </c>
      <c r="X78" s="601">
        <f t="shared" si="15"/>
        <v>0</v>
      </c>
      <c r="Z78" s="860"/>
      <c r="AA78" s="860"/>
      <c r="AB78" s="860"/>
      <c r="AC78" s="860"/>
      <c r="AD78" s="860"/>
      <c r="AE78" s="860"/>
      <c r="AG78" s="860"/>
      <c r="AH78" s="860"/>
      <c r="AI78" s="860"/>
      <c r="AJ78" s="860"/>
      <c r="AK78" s="860"/>
      <c r="AL78" s="860"/>
    </row>
    <row r="79" spans="1:38" ht="20.100000000000001" customHeight="1">
      <c r="A79" s="1521" t="s">
        <v>752</v>
      </c>
      <c r="B79" s="1522"/>
      <c r="C79" s="560">
        <f>SUM(C73:C77)</f>
        <v>0</v>
      </c>
      <c r="D79" s="560">
        <f t="shared" ref="D79:L79" si="72">SUM(D73:D77)</f>
        <v>0</v>
      </c>
      <c r="E79" s="560">
        <f t="shared" si="72"/>
        <v>0</v>
      </c>
      <c r="F79" s="560">
        <f t="shared" si="72"/>
        <v>0</v>
      </c>
      <c r="G79" s="560">
        <f t="shared" si="72"/>
        <v>0</v>
      </c>
      <c r="H79" s="560">
        <f t="shared" si="72"/>
        <v>0</v>
      </c>
      <c r="I79" s="560">
        <f t="shared" si="72"/>
        <v>0</v>
      </c>
      <c r="J79" s="560">
        <f t="shared" si="72"/>
        <v>0</v>
      </c>
      <c r="K79" s="575">
        <f t="shared" si="72"/>
        <v>0</v>
      </c>
      <c r="L79" s="560">
        <f t="shared" si="72"/>
        <v>0</v>
      </c>
      <c r="M79" s="604"/>
      <c r="N79" s="560">
        <f>SUM(N73:N77)</f>
        <v>0</v>
      </c>
      <c r="O79" s="560">
        <f t="shared" ref="O79:W79" si="73">SUM(O73:O77)</f>
        <v>0</v>
      </c>
      <c r="P79" s="560">
        <f t="shared" si="73"/>
        <v>0</v>
      </c>
      <c r="Q79" s="560">
        <f t="shared" si="73"/>
        <v>0</v>
      </c>
      <c r="R79" s="560">
        <f t="shared" si="73"/>
        <v>0</v>
      </c>
      <c r="S79" s="560">
        <f t="shared" si="73"/>
        <v>0</v>
      </c>
      <c r="T79" s="560">
        <f t="shared" si="73"/>
        <v>0</v>
      </c>
      <c r="U79" s="560">
        <f t="shared" si="73"/>
        <v>0</v>
      </c>
      <c r="V79" s="575">
        <f t="shared" si="73"/>
        <v>0</v>
      </c>
      <c r="W79" s="560">
        <f t="shared" si="73"/>
        <v>0</v>
      </c>
      <c r="X79" s="601">
        <f t="shared" si="15"/>
        <v>0</v>
      </c>
      <c r="AG79" s="857"/>
      <c r="AH79" s="857"/>
      <c r="AI79" s="857"/>
      <c r="AJ79" s="857"/>
      <c r="AK79" s="857"/>
      <c r="AL79" s="857"/>
    </row>
    <row r="80" spans="1:38" ht="15" customHeight="1">
      <c r="A80" s="1478" t="s">
        <v>147</v>
      </c>
      <c r="B80" s="1479"/>
      <c r="C80" s="1479"/>
      <c r="D80" s="1479"/>
      <c r="E80" s="1479"/>
      <c r="F80" s="1479"/>
      <c r="G80" s="1479"/>
      <c r="H80" s="1479"/>
      <c r="I80" s="1479"/>
      <c r="J80" s="1479"/>
      <c r="K80" s="1479"/>
      <c r="L80" s="1480"/>
      <c r="M80" s="604"/>
      <c r="N80" s="609"/>
      <c r="O80" s="609"/>
      <c r="P80" s="609"/>
      <c r="Q80" s="609"/>
      <c r="R80" s="609"/>
      <c r="S80" s="609"/>
      <c r="T80" s="609"/>
      <c r="U80" s="609"/>
      <c r="V80" s="609"/>
      <c r="W80" s="609"/>
      <c r="X80" s="600"/>
      <c r="AG80" s="857"/>
      <c r="AH80" s="857"/>
      <c r="AI80" s="857"/>
      <c r="AJ80" s="857"/>
      <c r="AK80" s="857"/>
      <c r="AL80" s="857"/>
    </row>
    <row r="81" spans="1:38" s="7" customFormat="1" ht="20.100000000000001" customHeight="1">
      <c r="A81" s="572">
        <v>1</v>
      </c>
      <c r="B81" s="854" t="s">
        <v>434</v>
      </c>
      <c r="C81" s="862">
        <f>+('107 (a)'!G79*'107(b)'!Z81)/1000000</f>
        <v>33.436</v>
      </c>
      <c r="D81" s="862">
        <f>+('107 (a)'!G79*'107(b)'!AA81)/1000000</f>
        <v>4.9660000000000002</v>
      </c>
      <c r="E81" s="869">
        <f t="shared" ref="E81:E86" si="74">C81+D81</f>
        <v>38.402000000000001</v>
      </c>
      <c r="F81" s="869">
        <f>+('107 (a)'!H79*'107(b)'!AB81)/1000000</f>
        <v>0</v>
      </c>
      <c r="G81" s="869">
        <f>+('107 (a)'!H79*'107(b)'!AC81)/1000000</f>
        <v>0</v>
      </c>
      <c r="H81" s="869">
        <f t="shared" ref="H81:H86" si="75">F81+G81</f>
        <v>0</v>
      </c>
      <c r="I81" s="862">
        <f>+('107 (a)'!J79*100700)/1000000</f>
        <v>6.5454999999999997</v>
      </c>
      <c r="J81" s="862">
        <f>+('107 (a)'!K79*100700)/1000000</f>
        <v>7.2504</v>
      </c>
      <c r="K81" s="873">
        <f t="shared" ref="K81:K86" si="76">I81+J81</f>
        <v>13.7959</v>
      </c>
      <c r="L81" s="874">
        <f>E81+K81+H81</f>
        <v>52.197900000000004</v>
      </c>
      <c r="M81" s="604"/>
      <c r="N81" s="862">
        <f>+('107 (a)'!S79*'107 (a)'!AB79)/1000000</f>
        <v>30.940100000000001</v>
      </c>
      <c r="O81" s="271"/>
      <c r="P81" s="606">
        <f t="shared" ref="P81:P86" si="77">N81+O81</f>
        <v>30.940100000000001</v>
      </c>
      <c r="Q81" s="606"/>
      <c r="R81" s="606"/>
      <c r="S81" s="606">
        <f t="shared" ref="S81:S86" si="78">Q81+R81</f>
        <v>0</v>
      </c>
      <c r="T81" s="271"/>
      <c r="U81" s="271"/>
      <c r="V81" s="607">
        <f t="shared" ref="V81:V86" si="79">T81+U81</f>
        <v>0</v>
      </c>
      <c r="W81" s="608">
        <f>P81+V81+S81</f>
        <v>30.940100000000001</v>
      </c>
      <c r="X81" s="601">
        <f t="shared" si="15"/>
        <v>83.138000000000005</v>
      </c>
      <c r="Z81" s="860">
        <f t="shared" ref="Z81:Z85" si="80">SUM(AG81*2)</f>
        <v>128600</v>
      </c>
      <c r="AA81" s="860">
        <f t="shared" ref="AA81:AA85" si="81">SUM(AH81*2)-500</f>
        <v>19100</v>
      </c>
      <c r="AB81" s="860"/>
      <c r="AC81" s="860"/>
      <c r="AD81" s="860"/>
      <c r="AE81" s="860"/>
      <c r="AG81" s="860">
        <v>64300</v>
      </c>
      <c r="AH81" s="860">
        <v>9800</v>
      </c>
      <c r="AI81" s="860"/>
      <c r="AJ81" s="860"/>
      <c r="AK81" s="860"/>
      <c r="AL81" s="860"/>
    </row>
    <row r="82" spans="1:38" s="7" customFormat="1" ht="20.100000000000001" customHeight="1">
      <c r="A82" s="241">
        <v>2</v>
      </c>
      <c r="B82" s="853" t="s">
        <v>388</v>
      </c>
      <c r="C82" s="862">
        <f>+('107 (a)'!G80*'107(b)'!Z82)/1000000</f>
        <v>0</v>
      </c>
      <c r="D82" s="862">
        <f>+('107 (a)'!G80*'107(b)'!AA82)/1000000</f>
        <v>0</v>
      </c>
      <c r="E82" s="875">
        <f t="shared" si="74"/>
        <v>0</v>
      </c>
      <c r="F82" s="869">
        <f>+('107 (a)'!H80*'107(b)'!AB82)/1000000</f>
        <v>0.4456</v>
      </c>
      <c r="G82" s="869">
        <f>+('107 (a)'!H80*'107(b)'!AC82)/1000000</f>
        <v>0.1128</v>
      </c>
      <c r="H82" s="875">
        <f t="shared" si="75"/>
        <v>0.55840000000000001</v>
      </c>
      <c r="I82" s="862">
        <f>+('107 (a)'!J80*100700)/1000000</f>
        <v>1.7119</v>
      </c>
      <c r="J82" s="862">
        <f>+('107 (a)'!K80*100700)/1000000</f>
        <v>0</v>
      </c>
      <c r="K82" s="878">
        <f t="shared" si="76"/>
        <v>1.7119</v>
      </c>
      <c r="L82" s="880">
        <f>E82+K82</f>
        <v>1.7119</v>
      </c>
      <c r="M82" s="604"/>
      <c r="N82" s="271">
        <f>+('107 (a)'!S80*'107 (a)'!AB80)/1000000</f>
        <v>0</v>
      </c>
      <c r="O82" s="238"/>
      <c r="P82" s="239">
        <f t="shared" si="77"/>
        <v>0</v>
      </c>
      <c r="Q82" s="239"/>
      <c r="R82" s="239"/>
      <c r="S82" s="239">
        <f t="shared" si="78"/>
        <v>0</v>
      </c>
      <c r="T82" s="238"/>
      <c r="U82" s="238"/>
      <c r="V82" s="564">
        <f t="shared" si="79"/>
        <v>0</v>
      </c>
      <c r="W82" s="565">
        <f>P82+V82</f>
        <v>0</v>
      </c>
      <c r="X82" s="601">
        <f t="shared" si="15"/>
        <v>1.7119</v>
      </c>
      <c r="Z82" s="860">
        <f t="shared" si="80"/>
        <v>61600</v>
      </c>
      <c r="AA82" s="860">
        <f t="shared" si="81"/>
        <v>10900</v>
      </c>
      <c r="AB82" s="860">
        <f t="shared" ref="AB82:AB85" si="82">SUM(AI82*2)-500</f>
        <v>55700</v>
      </c>
      <c r="AC82" s="860">
        <f t="shared" ref="AC82:AC85" si="83">SUM(AJ82*2)-500</f>
        <v>14100</v>
      </c>
      <c r="AD82" s="860"/>
      <c r="AE82" s="860"/>
      <c r="AG82" s="860">
        <v>30800</v>
      </c>
      <c r="AH82" s="860">
        <v>5700</v>
      </c>
      <c r="AI82" s="860">
        <v>28100</v>
      </c>
      <c r="AJ82" s="860">
        <v>7300</v>
      </c>
      <c r="AK82" s="860"/>
      <c r="AL82" s="860"/>
    </row>
    <row r="83" spans="1:38" s="7" customFormat="1" ht="20.100000000000001" customHeight="1">
      <c r="A83" s="241">
        <v>3</v>
      </c>
      <c r="B83" s="854" t="s">
        <v>1318</v>
      </c>
      <c r="C83" s="862">
        <f>+('107 (a)'!G81*'107(b)'!Z83)/1000000</f>
        <v>3.9529999999999998</v>
      </c>
      <c r="D83" s="862">
        <f>+('107 (a)'!G81*'107(b)'!AA83)/1000000</f>
        <v>0.73029999999999995</v>
      </c>
      <c r="E83" s="875">
        <f t="shared" si="74"/>
        <v>4.6833</v>
      </c>
      <c r="F83" s="869">
        <f>+('107 (a)'!H81*'107(b)'!AB83)/1000000</f>
        <v>0</v>
      </c>
      <c r="G83" s="869">
        <f>+('107 (a)'!H81*'107(b)'!AC83)/1000000</f>
        <v>0</v>
      </c>
      <c r="H83" s="875">
        <f t="shared" si="75"/>
        <v>0</v>
      </c>
      <c r="I83" s="862">
        <f>+('107 (a)'!J81*100700)/1000000</f>
        <v>0.40279999999999999</v>
      </c>
      <c r="J83" s="862">
        <f>+('107 (a)'!K81*100700)/1000000</f>
        <v>0.40279999999999999</v>
      </c>
      <c r="K83" s="878">
        <f t="shared" si="76"/>
        <v>0.80559999999999998</v>
      </c>
      <c r="L83" s="880">
        <f>E83+K83</f>
        <v>5.4889000000000001</v>
      </c>
      <c r="M83" s="604"/>
      <c r="N83" s="271">
        <f>+('107 (a)'!S81*'107 (a)'!AB81)/1000000</f>
        <v>0</v>
      </c>
      <c r="O83" s="238"/>
      <c r="P83" s="239">
        <f t="shared" si="77"/>
        <v>0</v>
      </c>
      <c r="Q83" s="239"/>
      <c r="R83" s="239"/>
      <c r="S83" s="239">
        <f t="shared" si="78"/>
        <v>0</v>
      </c>
      <c r="T83" s="238"/>
      <c r="U83" s="238"/>
      <c r="V83" s="564">
        <f t="shared" si="79"/>
        <v>0</v>
      </c>
      <c r="W83" s="565">
        <f>P83+V83</f>
        <v>0</v>
      </c>
      <c r="X83" s="601">
        <f t="shared" si="15"/>
        <v>5.4889000000000001</v>
      </c>
      <c r="Z83" s="860">
        <f t="shared" si="80"/>
        <v>59000</v>
      </c>
      <c r="AA83" s="860">
        <f t="shared" si="81"/>
        <v>10900</v>
      </c>
      <c r="AB83" s="860"/>
      <c r="AC83" s="860"/>
      <c r="AD83" s="860"/>
      <c r="AE83" s="860"/>
      <c r="AG83" s="860">
        <v>29500</v>
      </c>
      <c r="AH83" s="860">
        <v>5700</v>
      </c>
      <c r="AI83" s="860"/>
      <c r="AJ83" s="860"/>
      <c r="AK83" s="860"/>
      <c r="AL83" s="860"/>
    </row>
    <row r="84" spans="1:38" s="7" customFormat="1" ht="20.100000000000001" customHeight="1">
      <c r="A84" s="241">
        <v>4</v>
      </c>
      <c r="B84" s="854" t="s">
        <v>1331</v>
      </c>
      <c r="C84" s="862">
        <f>+('107 (a)'!G82*'107(b)'!Z84)/1000000</f>
        <v>3.4496000000000002</v>
      </c>
      <c r="D84" s="862">
        <f>+('107 (a)'!G82*'107(b)'!AA84)/1000000</f>
        <v>0.61040000000000005</v>
      </c>
      <c r="E84" s="875">
        <f t="shared" si="74"/>
        <v>4.0600000000000005</v>
      </c>
      <c r="F84" s="869">
        <f>+('107 (a)'!H82*'107(b)'!AB84)/1000000</f>
        <v>0</v>
      </c>
      <c r="G84" s="869">
        <f>+('107 (a)'!H82*'107(b)'!AC84)/1000000</f>
        <v>0</v>
      </c>
      <c r="H84" s="875">
        <f t="shared" si="75"/>
        <v>0</v>
      </c>
      <c r="I84" s="862">
        <f>+('107 (a)'!J82*100700)/1000000</f>
        <v>1.7119</v>
      </c>
      <c r="J84" s="862">
        <f>+('107 (a)'!K82*100700)/1000000</f>
        <v>0.90629999999999999</v>
      </c>
      <c r="K84" s="878">
        <f t="shared" si="76"/>
        <v>2.6181999999999999</v>
      </c>
      <c r="L84" s="880">
        <f>E84+K84</f>
        <v>6.6782000000000004</v>
      </c>
      <c r="M84" s="604"/>
      <c r="N84" s="271">
        <f>+('107 (a)'!S82*'107 (a)'!AB82)/1000000</f>
        <v>0</v>
      </c>
      <c r="O84" s="238"/>
      <c r="P84" s="239">
        <f t="shared" si="77"/>
        <v>0</v>
      </c>
      <c r="Q84" s="239"/>
      <c r="R84" s="239"/>
      <c r="S84" s="239">
        <f t="shared" si="78"/>
        <v>0</v>
      </c>
      <c r="T84" s="238"/>
      <c r="U84" s="238"/>
      <c r="V84" s="564">
        <f t="shared" si="79"/>
        <v>0</v>
      </c>
      <c r="W84" s="565">
        <f>P84+V84</f>
        <v>0</v>
      </c>
      <c r="X84" s="601">
        <f t="shared" si="15"/>
        <v>6.6782000000000004</v>
      </c>
      <c r="Z84" s="860">
        <f t="shared" si="80"/>
        <v>61600</v>
      </c>
      <c r="AA84" s="860">
        <f t="shared" si="81"/>
        <v>10900</v>
      </c>
      <c r="AB84" s="860">
        <f t="shared" si="82"/>
        <v>101100</v>
      </c>
      <c r="AC84" s="860">
        <f t="shared" si="83"/>
        <v>14100</v>
      </c>
      <c r="AD84" s="860"/>
      <c r="AE84" s="860"/>
      <c r="AG84" s="860">
        <v>30800</v>
      </c>
      <c r="AH84" s="860">
        <v>5700</v>
      </c>
      <c r="AI84" s="860">
        <v>50800</v>
      </c>
      <c r="AJ84" s="860">
        <v>7300</v>
      </c>
      <c r="AK84" s="860"/>
      <c r="AL84" s="860"/>
    </row>
    <row r="85" spans="1:38" s="7" customFormat="1" ht="20.100000000000001" customHeight="1">
      <c r="A85" s="241">
        <v>5</v>
      </c>
      <c r="B85" s="854" t="s">
        <v>1320</v>
      </c>
      <c r="C85" s="862">
        <f>+('107 (a)'!G83*'107(b)'!Z85)/1000000</f>
        <v>10.497199999999999</v>
      </c>
      <c r="D85" s="862">
        <f>+('107 (a)'!G83*'107(b)'!AA85)/1000000</f>
        <v>1.7766999999999999</v>
      </c>
      <c r="E85" s="875">
        <f t="shared" si="74"/>
        <v>12.273899999999999</v>
      </c>
      <c r="F85" s="869">
        <f>+('107 (a)'!H83*'107(b)'!AB85)/1000000</f>
        <v>2.3252999999999999</v>
      </c>
      <c r="G85" s="869">
        <f>+('107 (a)'!H83*'107(b)'!AC85)/1000000</f>
        <v>0.32429999999999998</v>
      </c>
      <c r="H85" s="875">
        <f t="shared" si="75"/>
        <v>2.6496</v>
      </c>
      <c r="I85" s="862">
        <f>+('107 (a)'!J83*100700)/1000000</f>
        <v>3.9272999999999998</v>
      </c>
      <c r="J85" s="862">
        <f>+('107 (a)'!K83*100700)/1000000</f>
        <v>1.0069999999999999</v>
      </c>
      <c r="K85" s="878">
        <f t="shared" si="76"/>
        <v>4.9342999999999995</v>
      </c>
      <c r="L85" s="880">
        <f>E85+K85</f>
        <v>17.208199999999998</v>
      </c>
      <c r="M85" s="604"/>
      <c r="N85" s="271">
        <f>+('107 (a)'!S83*'107 (a)'!AB83)/1000000</f>
        <v>0</v>
      </c>
      <c r="O85" s="238"/>
      <c r="P85" s="239">
        <f t="shared" si="77"/>
        <v>0</v>
      </c>
      <c r="Q85" s="239"/>
      <c r="R85" s="239"/>
      <c r="S85" s="239">
        <f t="shared" si="78"/>
        <v>0</v>
      </c>
      <c r="T85" s="238"/>
      <c r="U85" s="238"/>
      <c r="V85" s="564">
        <f t="shared" si="79"/>
        <v>0</v>
      </c>
      <c r="W85" s="565">
        <f>P85+V85</f>
        <v>0</v>
      </c>
      <c r="X85" s="601">
        <f t="shared" si="15"/>
        <v>17.208199999999998</v>
      </c>
      <c r="Z85" s="860">
        <f t="shared" si="80"/>
        <v>64400</v>
      </c>
      <c r="AA85" s="860">
        <f t="shared" si="81"/>
        <v>10900</v>
      </c>
      <c r="AB85" s="860">
        <f t="shared" si="82"/>
        <v>101100</v>
      </c>
      <c r="AC85" s="860">
        <f t="shared" si="83"/>
        <v>14100</v>
      </c>
      <c r="AD85" s="860"/>
      <c r="AE85" s="860"/>
      <c r="AG85" s="860">
        <v>32200</v>
      </c>
      <c r="AH85" s="860">
        <v>5700</v>
      </c>
      <c r="AI85" s="860">
        <v>50800</v>
      </c>
      <c r="AJ85" s="860">
        <v>7300</v>
      </c>
      <c r="AK85" s="860"/>
      <c r="AL85" s="860"/>
    </row>
    <row r="86" spans="1:38" s="7" customFormat="1" ht="20.100000000000001" customHeight="1">
      <c r="A86" s="561">
        <v>6</v>
      </c>
      <c r="B86" s="562"/>
      <c r="C86" s="359"/>
      <c r="D86" s="237"/>
      <c r="E86" s="876">
        <f t="shared" si="74"/>
        <v>0</v>
      </c>
      <c r="F86" s="198"/>
      <c r="G86" s="563"/>
      <c r="H86" s="877">
        <f t="shared" si="75"/>
        <v>0</v>
      </c>
      <c r="I86" s="359"/>
      <c r="J86" s="237"/>
      <c r="K86" s="879">
        <f t="shared" si="76"/>
        <v>0</v>
      </c>
      <c r="L86" s="880">
        <f>E86+K86</f>
        <v>0</v>
      </c>
      <c r="M86" s="604"/>
      <c r="N86" s="271">
        <f>+('107 (a)'!S84*'107 (a)'!AB84)/1000000</f>
        <v>0</v>
      </c>
      <c r="O86" s="237"/>
      <c r="P86" s="198">
        <f t="shared" si="77"/>
        <v>0</v>
      </c>
      <c r="Q86" s="198"/>
      <c r="R86" s="563"/>
      <c r="S86" s="563">
        <f t="shared" si="78"/>
        <v>0</v>
      </c>
      <c r="T86" s="359"/>
      <c r="U86" s="237"/>
      <c r="V86" s="574">
        <f t="shared" si="79"/>
        <v>0</v>
      </c>
      <c r="W86" s="565">
        <f>P86+V86</f>
        <v>0</v>
      </c>
      <c r="X86" s="601">
        <f t="shared" si="15"/>
        <v>0</v>
      </c>
      <c r="Z86" s="860"/>
      <c r="AA86" s="860"/>
      <c r="AB86" s="860"/>
      <c r="AC86" s="860"/>
      <c r="AD86" s="860"/>
      <c r="AE86" s="860"/>
      <c r="AG86" s="860"/>
      <c r="AH86" s="860"/>
      <c r="AI86" s="860"/>
      <c r="AJ86" s="860"/>
      <c r="AK86" s="860"/>
      <c r="AL86" s="860"/>
    </row>
    <row r="87" spans="1:38" ht="20.100000000000001" customHeight="1">
      <c r="A87" s="1521" t="s">
        <v>752</v>
      </c>
      <c r="B87" s="1522"/>
      <c r="C87" s="865">
        <f>SUM(C81:C85)</f>
        <v>51.335799999999999</v>
      </c>
      <c r="D87" s="865">
        <f t="shared" ref="D87:L87" si="84">SUM(D81:D85)</f>
        <v>8.083400000000001</v>
      </c>
      <c r="E87" s="865">
        <f t="shared" si="84"/>
        <v>59.419200000000004</v>
      </c>
      <c r="F87" s="865">
        <f t="shared" si="84"/>
        <v>2.7709000000000001</v>
      </c>
      <c r="G87" s="865">
        <f t="shared" si="84"/>
        <v>0.43709999999999999</v>
      </c>
      <c r="H87" s="865">
        <f t="shared" si="84"/>
        <v>3.2080000000000002</v>
      </c>
      <c r="I87" s="865">
        <f t="shared" si="84"/>
        <v>14.299399999999999</v>
      </c>
      <c r="J87" s="865">
        <f t="shared" si="84"/>
        <v>9.5664999999999996</v>
      </c>
      <c r="K87" s="866">
        <f t="shared" si="84"/>
        <v>23.865899999999996</v>
      </c>
      <c r="L87" s="865">
        <f t="shared" si="84"/>
        <v>83.2851</v>
      </c>
      <c r="M87" s="604"/>
      <c r="N87" s="865">
        <f>SUM(N81:N85)</f>
        <v>30.940100000000001</v>
      </c>
      <c r="O87" s="560">
        <f t="shared" ref="O87:W87" si="85">SUM(O81:O85)</f>
        <v>0</v>
      </c>
      <c r="P87" s="560">
        <f t="shared" si="85"/>
        <v>30.940100000000001</v>
      </c>
      <c r="Q87" s="560">
        <f t="shared" si="85"/>
        <v>0</v>
      </c>
      <c r="R87" s="560">
        <f t="shared" si="85"/>
        <v>0</v>
      </c>
      <c r="S87" s="560">
        <f t="shared" si="85"/>
        <v>0</v>
      </c>
      <c r="T87" s="560">
        <f t="shared" si="85"/>
        <v>0</v>
      </c>
      <c r="U87" s="560">
        <f t="shared" si="85"/>
        <v>0</v>
      </c>
      <c r="V87" s="575">
        <f t="shared" si="85"/>
        <v>0</v>
      </c>
      <c r="W87" s="560">
        <f t="shared" si="85"/>
        <v>30.940100000000001</v>
      </c>
      <c r="X87" s="601">
        <f t="shared" si="15"/>
        <v>114.2252</v>
      </c>
      <c r="AG87" s="857"/>
      <c r="AH87" s="857"/>
      <c r="AI87" s="857"/>
      <c r="AJ87" s="857"/>
      <c r="AK87" s="857"/>
      <c r="AL87" s="857"/>
    </row>
    <row r="88" spans="1:38" ht="15" customHeight="1">
      <c r="A88" s="1478" t="s">
        <v>148</v>
      </c>
      <c r="B88" s="1479"/>
      <c r="C88" s="1479"/>
      <c r="D88" s="1479"/>
      <c r="E88" s="1479"/>
      <c r="F88" s="1479"/>
      <c r="G88" s="1479"/>
      <c r="H88" s="1479"/>
      <c r="I88" s="1479"/>
      <c r="J88" s="1479"/>
      <c r="K88" s="1479"/>
      <c r="L88" s="1480"/>
      <c r="M88" s="604"/>
      <c r="N88" s="609"/>
      <c r="O88" s="609"/>
      <c r="P88" s="609"/>
      <c r="Q88" s="609"/>
      <c r="R88" s="609"/>
      <c r="S88" s="609"/>
      <c r="T88" s="609"/>
      <c r="U88" s="609"/>
      <c r="V88" s="609"/>
      <c r="W88" s="609"/>
      <c r="X88" s="600"/>
      <c r="AG88" s="857"/>
      <c r="AH88" s="857"/>
      <c r="AI88" s="857"/>
      <c r="AJ88" s="857"/>
      <c r="AK88" s="857"/>
      <c r="AL88" s="857"/>
    </row>
    <row r="89" spans="1:38" s="7" customFormat="1" ht="20.100000000000001" customHeight="1">
      <c r="A89" s="572">
        <v>1</v>
      </c>
      <c r="B89" s="573"/>
      <c r="C89" s="271"/>
      <c r="D89" s="271"/>
      <c r="E89" s="606">
        <f t="shared" ref="E89:E94" si="86">C89+D89</f>
        <v>0</v>
      </c>
      <c r="F89" s="606"/>
      <c r="G89" s="606"/>
      <c r="H89" s="606">
        <f t="shared" ref="H89:H94" si="87">F89+G89</f>
        <v>0</v>
      </c>
      <c r="I89" s="271"/>
      <c r="J89" s="271"/>
      <c r="K89" s="607">
        <f t="shared" ref="K89:K94" si="88">I89+J89</f>
        <v>0</v>
      </c>
      <c r="L89" s="608">
        <f>E89+K89+H89</f>
        <v>0</v>
      </c>
      <c r="M89" s="604"/>
      <c r="N89" s="271"/>
      <c r="O89" s="271"/>
      <c r="P89" s="606">
        <f t="shared" ref="P89:P94" si="89">N89+O89</f>
        <v>0</v>
      </c>
      <c r="Q89" s="606"/>
      <c r="R89" s="606"/>
      <c r="S89" s="606">
        <f t="shared" ref="S89:S94" si="90">Q89+R89</f>
        <v>0</v>
      </c>
      <c r="T89" s="271"/>
      <c r="U89" s="271"/>
      <c r="V89" s="607">
        <f t="shared" ref="V89:V94" si="91">T89+U89</f>
        <v>0</v>
      </c>
      <c r="W89" s="608">
        <f>P89+V89+S89</f>
        <v>0</v>
      </c>
      <c r="X89" s="601">
        <f t="shared" si="15"/>
        <v>0</v>
      </c>
      <c r="Z89" s="860"/>
      <c r="AA89" s="860"/>
      <c r="AB89" s="860"/>
      <c r="AC89" s="860"/>
      <c r="AD89" s="860"/>
      <c r="AE89" s="860"/>
      <c r="AG89" s="860"/>
      <c r="AH89" s="860"/>
      <c r="AI89" s="860"/>
      <c r="AJ89" s="860"/>
      <c r="AK89" s="860"/>
      <c r="AL89" s="860"/>
    </row>
    <row r="90" spans="1:38" s="7" customFormat="1" ht="20.100000000000001" customHeight="1">
      <c r="A90" s="241">
        <v>2</v>
      </c>
      <c r="B90" s="243"/>
      <c r="C90" s="238"/>
      <c r="D90" s="238"/>
      <c r="E90" s="239">
        <f t="shared" si="86"/>
        <v>0</v>
      </c>
      <c r="F90" s="239"/>
      <c r="G90" s="239"/>
      <c r="H90" s="239">
        <f t="shared" si="87"/>
        <v>0</v>
      </c>
      <c r="I90" s="238"/>
      <c r="J90" s="238"/>
      <c r="K90" s="564">
        <f t="shared" si="88"/>
        <v>0</v>
      </c>
      <c r="L90" s="565">
        <f>E90+K90</f>
        <v>0</v>
      </c>
      <c r="M90" s="604"/>
      <c r="N90" s="238"/>
      <c r="O90" s="238"/>
      <c r="P90" s="239">
        <f t="shared" si="89"/>
        <v>0</v>
      </c>
      <c r="Q90" s="239"/>
      <c r="R90" s="239"/>
      <c r="S90" s="239">
        <f t="shared" si="90"/>
        <v>0</v>
      </c>
      <c r="T90" s="238"/>
      <c r="U90" s="238"/>
      <c r="V90" s="564">
        <f t="shared" si="91"/>
        <v>0</v>
      </c>
      <c r="W90" s="565">
        <f>P90+V90</f>
        <v>0</v>
      </c>
      <c r="X90" s="601">
        <f t="shared" si="15"/>
        <v>0</v>
      </c>
      <c r="Z90" s="860"/>
      <c r="AA90" s="860"/>
      <c r="AB90" s="860"/>
      <c r="AC90" s="860"/>
      <c r="AD90" s="860"/>
      <c r="AE90" s="860"/>
      <c r="AG90" s="860"/>
      <c r="AH90" s="860"/>
      <c r="AI90" s="860"/>
      <c r="AJ90" s="860"/>
      <c r="AK90" s="860"/>
      <c r="AL90" s="860"/>
    </row>
    <row r="91" spans="1:38" s="7" customFormat="1" ht="20.100000000000001" customHeight="1">
      <c r="A91" s="241">
        <v>3</v>
      </c>
      <c r="B91" s="243"/>
      <c r="C91" s="238"/>
      <c r="D91" s="238"/>
      <c r="E91" s="239">
        <f t="shared" si="86"/>
        <v>0</v>
      </c>
      <c r="F91" s="239"/>
      <c r="G91" s="239"/>
      <c r="H91" s="239">
        <f t="shared" si="87"/>
        <v>0</v>
      </c>
      <c r="I91" s="238"/>
      <c r="J91" s="238"/>
      <c r="K91" s="564">
        <f t="shared" si="88"/>
        <v>0</v>
      </c>
      <c r="L91" s="565">
        <f>E91+K91</f>
        <v>0</v>
      </c>
      <c r="M91" s="604"/>
      <c r="N91" s="238"/>
      <c r="O91" s="238"/>
      <c r="P91" s="239">
        <f t="shared" si="89"/>
        <v>0</v>
      </c>
      <c r="Q91" s="239"/>
      <c r="R91" s="239"/>
      <c r="S91" s="239">
        <f t="shared" si="90"/>
        <v>0</v>
      </c>
      <c r="T91" s="238"/>
      <c r="U91" s="238"/>
      <c r="V91" s="564">
        <f t="shared" si="91"/>
        <v>0</v>
      </c>
      <c r="W91" s="565">
        <f>P91+V91</f>
        <v>0</v>
      </c>
      <c r="X91" s="601">
        <f t="shared" si="15"/>
        <v>0</v>
      </c>
      <c r="Z91" s="860"/>
      <c r="AA91" s="860"/>
      <c r="AB91" s="860"/>
      <c r="AC91" s="860"/>
      <c r="AD91" s="860"/>
      <c r="AE91" s="860"/>
      <c r="AG91" s="860"/>
      <c r="AH91" s="860"/>
      <c r="AI91" s="860"/>
      <c r="AJ91" s="860"/>
      <c r="AK91" s="860"/>
      <c r="AL91" s="860"/>
    </row>
    <row r="92" spans="1:38" s="7" customFormat="1" ht="20.100000000000001" customHeight="1">
      <c r="A92" s="241">
        <v>4</v>
      </c>
      <c r="B92" s="243"/>
      <c r="C92" s="238"/>
      <c r="D92" s="238"/>
      <c r="E92" s="239">
        <f t="shared" si="86"/>
        <v>0</v>
      </c>
      <c r="F92" s="239"/>
      <c r="G92" s="239"/>
      <c r="H92" s="239">
        <f t="shared" si="87"/>
        <v>0</v>
      </c>
      <c r="I92" s="238"/>
      <c r="J92" s="238"/>
      <c r="K92" s="564">
        <f t="shared" si="88"/>
        <v>0</v>
      </c>
      <c r="L92" s="565">
        <f>E92+K92</f>
        <v>0</v>
      </c>
      <c r="M92" s="604"/>
      <c r="N92" s="238"/>
      <c r="O92" s="238"/>
      <c r="P92" s="239">
        <f t="shared" si="89"/>
        <v>0</v>
      </c>
      <c r="Q92" s="239"/>
      <c r="R92" s="239"/>
      <c r="S92" s="239">
        <f t="shared" si="90"/>
        <v>0</v>
      </c>
      <c r="T92" s="238"/>
      <c r="U92" s="238"/>
      <c r="V92" s="564">
        <f t="shared" si="91"/>
        <v>0</v>
      </c>
      <c r="W92" s="565">
        <f>P92+V92</f>
        <v>0</v>
      </c>
      <c r="X92" s="601">
        <f t="shared" si="15"/>
        <v>0</v>
      </c>
      <c r="Z92" s="860"/>
      <c r="AA92" s="860"/>
      <c r="AB92" s="860"/>
      <c r="AC92" s="860"/>
      <c r="AD92" s="860"/>
      <c r="AE92" s="860"/>
      <c r="AG92" s="860"/>
      <c r="AH92" s="860"/>
      <c r="AI92" s="860"/>
      <c r="AJ92" s="860"/>
      <c r="AK92" s="860"/>
      <c r="AL92" s="860"/>
    </row>
    <row r="93" spans="1:38" s="7" customFormat="1" ht="20.100000000000001" customHeight="1">
      <c r="A93" s="241">
        <v>5</v>
      </c>
      <c r="B93" s="243"/>
      <c r="C93" s="238"/>
      <c r="D93" s="238"/>
      <c r="E93" s="239">
        <f t="shared" si="86"/>
        <v>0</v>
      </c>
      <c r="F93" s="239"/>
      <c r="G93" s="239"/>
      <c r="H93" s="239">
        <f t="shared" si="87"/>
        <v>0</v>
      </c>
      <c r="I93" s="238"/>
      <c r="J93" s="238"/>
      <c r="K93" s="564">
        <f t="shared" si="88"/>
        <v>0</v>
      </c>
      <c r="L93" s="565">
        <f>E93+K93</f>
        <v>0</v>
      </c>
      <c r="M93" s="604"/>
      <c r="N93" s="238"/>
      <c r="O93" s="238"/>
      <c r="P93" s="239">
        <f t="shared" si="89"/>
        <v>0</v>
      </c>
      <c r="Q93" s="239"/>
      <c r="R93" s="239"/>
      <c r="S93" s="239">
        <f t="shared" si="90"/>
        <v>0</v>
      </c>
      <c r="T93" s="238"/>
      <c r="U93" s="238"/>
      <c r="V93" s="564">
        <f t="shared" si="91"/>
        <v>0</v>
      </c>
      <c r="W93" s="565">
        <f>P93+V93</f>
        <v>0</v>
      </c>
      <c r="X93" s="601">
        <f t="shared" si="15"/>
        <v>0</v>
      </c>
      <c r="Z93" s="860"/>
      <c r="AA93" s="860"/>
      <c r="AB93" s="860"/>
      <c r="AC93" s="860"/>
      <c r="AD93" s="860"/>
      <c r="AE93" s="860"/>
      <c r="AG93" s="860"/>
      <c r="AH93" s="860"/>
      <c r="AI93" s="860"/>
      <c r="AJ93" s="860"/>
      <c r="AK93" s="860"/>
      <c r="AL93" s="860"/>
    </row>
    <row r="94" spans="1:38" s="7" customFormat="1" ht="20.100000000000001" customHeight="1">
      <c r="A94" s="561">
        <v>6</v>
      </c>
      <c r="B94" s="562"/>
      <c r="C94" s="359"/>
      <c r="D94" s="237"/>
      <c r="E94" s="198">
        <f t="shared" si="86"/>
        <v>0</v>
      </c>
      <c r="F94" s="198"/>
      <c r="G94" s="563"/>
      <c r="H94" s="563">
        <f t="shared" si="87"/>
        <v>0</v>
      </c>
      <c r="I94" s="359"/>
      <c r="J94" s="237"/>
      <c r="K94" s="574">
        <f t="shared" si="88"/>
        <v>0</v>
      </c>
      <c r="L94" s="565">
        <f>E94+K94</f>
        <v>0</v>
      </c>
      <c r="M94" s="604"/>
      <c r="N94" s="359"/>
      <c r="O94" s="237"/>
      <c r="P94" s="198">
        <f t="shared" si="89"/>
        <v>0</v>
      </c>
      <c r="Q94" s="198"/>
      <c r="R94" s="563"/>
      <c r="S94" s="563">
        <f t="shared" si="90"/>
        <v>0</v>
      </c>
      <c r="T94" s="359"/>
      <c r="U94" s="237"/>
      <c r="V94" s="574">
        <f t="shared" si="91"/>
        <v>0</v>
      </c>
      <c r="W94" s="565">
        <f>P94+V94</f>
        <v>0</v>
      </c>
      <c r="X94" s="601">
        <f t="shared" si="15"/>
        <v>0</v>
      </c>
      <c r="Z94" s="860"/>
      <c r="AA94" s="860"/>
      <c r="AB94" s="860"/>
      <c r="AC94" s="860"/>
      <c r="AD94" s="860"/>
      <c r="AE94" s="860"/>
      <c r="AG94" s="860"/>
      <c r="AH94" s="860"/>
      <c r="AI94" s="860"/>
      <c r="AJ94" s="860"/>
      <c r="AK94" s="860"/>
      <c r="AL94" s="860"/>
    </row>
    <row r="95" spans="1:38" ht="20.100000000000001" customHeight="1">
      <c r="A95" s="1521" t="s">
        <v>752</v>
      </c>
      <c r="B95" s="1522"/>
      <c r="C95" s="560">
        <f>SUM(C89:C93)</f>
        <v>0</v>
      </c>
      <c r="D95" s="560">
        <f t="shared" ref="D95:L95" si="92">SUM(D89:D93)</f>
        <v>0</v>
      </c>
      <c r="E95" s="560">
        <f t="shared" si="92"/>
        <v>0</v>
      </c>
      <c r="F95" s="560">
        <f t="shared" si="92"/>
        <v>0</v>
      </c>
      <c r="G95" s="560">
        <f t="shared" si="92"/>
        <v>0</v>
      </c>
      <c r="H95" s="560">
        <f t="shared" si="92"/>
        <v>0</v>
      </c>
      <c r="I95" s="560">
        <f t="shared" si="92"/>
        <v>0</v>
      </c>
      <c r="J95" s="560">
        <f t="shared" si="92"/>
        <v>0</v>
      </c>
      <c r="K95" s="575">
        <f t="shared" si="92"/>
        <v>0</v>
      </c>
      <c r="L95" s="560">
        <f t="shared" si="92"/>
        <v>0</v>
      </c>
      <c r="M95" s="604"/>
      <c r="N95" s="560">
        <f>SUM(N89:N93)</f>
        <v>0</v>
      </c>
      <c r="O95" s="560">
        <f t="shared" ref="O95:W95" si="93">SUM(O89:O93)</f>
        <v>0</v>
      </c>
      <c r="P95" s="560">
        <f t="shared" si="93"/>
        <v>0</v>
      </c>
      <c r="Q95" s="560">
        <f t="shared" si="93"/>
        <v>0</v>
      </c>
      <c r="R95" s="560">
        <f t="shared" si="93"/>
        <v>0</v>
      </c>
      <c r="S95" s="560">
        <f t="shared" si="93"/>
        <v>0</v>
      </c>
      <c r="T95" s="560">
        <f t="shared" si="93"/>
        <v>0</v>
      </c>
      <c r="U95" s="560">
        <f t="shared" si="93"/>
        <v>0</v>
      </c>
      <c r="V95" s="575">
        <f t="shared" si="93"/>
        <v>0</v>
      </c>
      <c r="W95" s="560">
        <f t="shared" si="93"/>
        <v>0</v>
      </c>
      <c r="X95" s="601">
        <f t="shared" si="15"/>
        <v>0</v>
      </c>
      <c r="AG95" s="857"/>
      <c r="AH95" s="857"/>
      <c r="AI95" s="857"/>
      <c r="AJ95" s="857"/>
      <c r="AK95" s="857"/>
      <c r="AL95" s="857"/>
    </row>
    <row r="96" spans="1:38" ht="15" customHeight="1">
      <c r="A96" s="1478" t="s">
        <v>149</v>
      </c>
      <c r="B96" s="1479"/>
      <c r="C96" s="1479"/>
      <c r="D96" s="1479"/>
      <c r="E96" s="1479"/>
      <c r="F96" s="1479"/>
      <c r="G96" s="1479"/>
      <c r="H96" s="1479"/>
      <c r="I96" s="1479"/>
      <c r="J96" s="1479"/>
      <c r="K96" s="1479"/>
      <c r="L96" s="1480"/>
      <c r="M96" s="604"/>
      <c r="N96" s="609"/>
      <c r="O96" s="609"/>
      <c r="P96" s="609"/>
      <c r="Q96" s="609"/>
      <c r="R96" s="609"/>
      <c r="S96" s="609"/>
      <c r="T96" s="609"/>
      <c r="U96" s="609"/>
      <c r="V96" s="609"/>
      <c r="W96" s="609"/>
      <c r="X96" s="600"/>
      <c r="AG96" s="857"/>
      <c r="AH96" s="857"/>
      <c r="AI96" s="857"/>
      <c r="AJ96" s="857"/>
      <c r="AK96" s="857"/>
      <c r="AL96" s="857"/>
    </row>
    <row r="97" spans="1:38" s="7" customFormat="1" ht="20.100000000000001" customHeight="1">
      <c r="A97" s="572">
        <v>1</v>
      </c>
      <c r="B97" s="573"/>
      <c r="C97" s="271"/>
      <c r="D97" s="271"/>
      <c r="E97" s="606">
        <f t="shared" ref="E97:E102" si="94">C97+D97</f>
        <v>0</v>
      </c>
      <c r="F97" s="606"/>
      <c r="G97" s="606"/>
      <c r="H97" s="606">
        <f t="shared" ref="H97:H102" si="95">F97+G97</f>
        <v>0</v>
      </c>
      <c r="I97" s="271"/>
      <c r="J97" s="271"/>
      <c r="K97" s="607">
        <f t="shared" ref="K97:K102" si="96">I97+J97</f>
        <v>0</v>
      </c>
      <c r="L97" s="608">
        <f>E97+K97+H97</f>
        <v>0</v>
      </c>
      <c r="M97" s="604"/>
      <c r="N97" s="271"/>
      <c r="O97" s="271"/>
      <c r="P97" s="606">
        <f t="shared" ref="P97:P102" si="97">N97+O97</f>
        <v>0</v>
      </c>
      <c r="Q97" s="606"/>
      <c r="R97" s="606"/>
      <c r="S97" s="606">
        <f t="shared" ref="S97:S102" si="98">Q97+R97</f>
        <v>0</v>
      </c>
      <c r="T97" s="271"/>
      <c r="U97" s="271"/>
      <c r="V97" s="607">
        <f t="shared" ref="V97:V102" si="99">T97+U97</f>
        <v>0</v>
      </c>
      <c r="W97" s="608">
        <f>P97+V97+S97</f>
        <v>0</v>
      </c>
      <c r="X97" s="601">
        <f t="shared" si="15"/>
        <v>0</v>
      </c>
      <c r="Z97" s="860"/>
      <c r="AA97" s="860"/>
      <c r="AB97" s="860"/>
      <c r="AC97" s="860"/>
      <c r="AD97" s="860"/>
      <c r="AE97" s="860"/>
      <c r="AG97" s="860"/>
      <c r="AH97" s="860"/>
      <c r="AI97" s="860"/>
      <c r="AJ97" s="860"/>
      <c r="AK97" s="860"/>
      <c r="AL97" s="860"/>
    </row>
    <row r="98" spans="1:38" s="7" customFormat="1" ht="20.100000000000001" customHeight="1">
      <c r="A98" s="241">
        <v>2</v>
      </c>
      <c r="B98" s="243"/>
      <c r="C98" s="238"/>
      <c r="D98" s="238"/>
      <c r="E98" s="239">
        <f t="shared" si="94"/>
        <v>0</v>
      </c>
      <c r="F98" s="239"/>
      <c r="G98" s="239"/>
      <c r="H98" s="239">
        <f t="shared" si="95"/>
        <v>0</v>
      </c>
      <c r="I98" s="238"/>
      <c r="J98" s="238"/>
      <c r="K98" s="564">
        <f t="shared" si="96"/>
        <v>0</v>
      </c>
      <c r="L98" s="565">
        <f>E98+K98</f>
        <v>0</v>
      </c>
      <c r="M98" s="604"/>
      <c r="N98" s="238"/>
      <c r="O98" s="238"/>
      <c r="P98" s="239">
        <f t="shared" si="97"/>
        <v>0</v>
      </c>
      <c r="Q98" s="239"/>
      <c r="R98" s="239"/>
      <c r="S98" s="239">
        <f t="shared" si="98"/>
        <v>0</v>
      </c>
      <c r="T98" s="238"/>
      <c r="U98" s="238"/>
      <c r="V98" s="564">
        <f t="shared" si="99"/>
        <v>0</v>
      </c>
      <c r="W98" s="565">
        <f>P98+V98</f>
        <v>0</v>
      </c>
      <c r="X98" s="601">
        <f t="shared" ref="X98:X103" si="100">W98+L98</f>
        <v>0</v>
      </c>
      <c r="Z98" s="860"/>
      <c r="AA98" s="860"/>
      <c r="AB98" s="860"/>
      <c r="AC98" s="860"/>
      <c r="AD98" s="860"/>
      <c r="AE98" s="860"/>
      <c r="AG98" s="860"/>
      <c r="AH98" s="860"/>
      <c r="AI98" s="860"/>
      <c r="AJ98" s="860"/>
      <c r="AK98" s="860"/>
      <c r="AL98" s="860"/>
    </row>
    <row r="99" spans="1:38" s="7" customFormat="1" ht="20.100000000000001" hidden="1" customHeight="1">
      <c r="A99" s="241">
        <v>3</v>
      </c>
      <c r="B99" s="243"/>
      <c r="C99" s="238"/>
      <c r="D99" s="238"/>
      <c r="E99" s="239">
        <f t="shared" si="94"/>
        <v>0</v>
      </c>
      <c r="F99" s="239"/>
      <c r="G99" s="239"/>
      <c r="H99" s="239">
        <f t="shared" si="95"/>
        <v>0</v>
      </c>
      <c r="I99" s="238"/>
      <c r="J99" s="238"/>
      <c r="K99" s="564">
        <f t="shared" si="96"/>
        <v>0</v>
      </c>
      <c r="L99" s="565">
        <f>E99+K99</f>
        <v>0</v>
      </c>
      <c r="M99" s="604"/>
      <c r="N99" s="238"/>
      <c r="O99" s="238"/>
      <c r="P99" s="239">
        <f t="shared" si="97"/>
        <v>0</v>
      </c>
      <c r="Q99" s="239"/>
      <c r="R99" s="239"/>
      <c r="S99" s="239">
        <f t="shared" si="98"/>
        <v>0</v>
      </c>
      <c r="T99" s="238"/>
      <c r="U99" s="238"/>
      <c r="V99" s="564">
        <f t="shared" si="99"/>
        <v>0</v>
      </c>
      <c r="W99" s="565">
        <f>P99+V99</f>
        <v>0</v>
      </c>
      <c r="X99" s="601">
        <f t="shared" si="100"/>
        <v>0</v>
      </c>
      <c r="Z99" s="860"/>
      <c r="AA99" s="860"/>
      <c r="AB99" s="860"/>
      <c r="AC99" s="860"/>
      <c r="AD99" s="860"/>
      <c r="AE99" s="860"/>
      <c r="AG99" s="860"/>
      <c r="AH99" s="860"/>
      <c r="AI99" s="860"/>
      <c r="AJ99" s="860"/>
      <c r="AK99" s="860"/>
      <c r="AL99" s="860"/>
    </row>
    <row r="100" spans="1:38" s="7" customFormat="1" ht="20.100000000000001" hidden="1" customHeight="1">
      <c r="A100" s="241">
        <v>4</v>
      </c>
      <c r="B100" s="243"/>
      <c r="C100" s="238"/>
      <c r="D100" s="238"/>
      <c r="E100" s="239">
        <f t="shared" si="94"/>
        <v>0</v>
      </c>
      <c r="F100" s="239"/>
      <c r="G100" s="239"/>
      <c r="H100" s="239">
        <f t="shared" si="95"/>
        <v>0</v>
      </c>
      <c r="I100" s="238"/>
      <c r="J100" s="238"/>
      <c r="K100" s="564">
        <f t="shared" si="96"/>
        <v>0</v>
      </c>
      <c r="L100" s="565">
        <f>E100+K100</f>
        <v>0</v>
      </c>
      <c r="M100" s="604"/>
      <c r="N100" s="238"/>
      <c r="O100" s="238"/>
      <c r="P100" s="239">
        <f t="shared" si="97"/>
        <v>0</v>
      </c>
      <c r="Q100" s="239"/>
      <c r="R100" s="239"/>
      <c r="S100" s="239">
        <f t="shared" si="98"/>
        <v>0</v>
      </c>
      <c r="T100" s="238"/>
      <c r="U100" s="238"/>
      <c r="V100" s="564">
        <f t="shared" si="99"/>
        <v>0</v>
      </c>
      <c r="W100" s="565">
        <f>P100+V100</f>
        <v>0</v>
      </c>
      <c r="X100" s="601">
        <f t="shared" si="100"/>
        <v>0</v>
      </c>
      <c r="Z100" s="860"/>
      <c r="AA100" s="860"/>
      <c r="AB100" s="860"/>
      <c r="AC100" s="860"/>
      <c r="AD100" s="860"/>
      <c r="AE100" s="860"/>
      <c r="AG100" s="860"/>
      <c r="AH100" s="860"/>
      <c r="AI100" s="860"/>
      <c r="AJ100" s="860"/>
      <c r="AK100" s="860"/>
      <c r="AL100" s="860"/>
    </row>
    <row r="101" spans="1:38" s="7" customFormat="1" ht="20.100000000000001" hidden="1" customHeight="1">
      <c r="A101" s="241">
        <v>5</v>
      </c>
      <c r="B101" s="243"/>
      <c r="C101" s="238"/>
      <c r="D101" s="238"/>
      <c r="E101" s="239">
        <f t="shared" si="94"/>
        <v>0</v>
      </c>
      <c r="F101" s="239"/>
      <c r="G101" s="239"/>
      <c r="H101" s="239">
        <f t="shared" si="95"/>
        <v>0</v>
      </c>
      <c r="I101" s="238"/>
      <c r="J101" s="238"/>
      <c r="K101" s="564">
        <f t="shared" si="96"/>
        <v>0</v>
      </c>
      <c r="L101" s="565">
        <f>E101+K101</f>
        <v>0</v>
      </c>
      <c r="M101" s="604"/>
      <c r="N101" s="238"/>
      <c r="O101" s="238"/>
      <c r="P101" s="239">
        <f t="shared" si="97"/>
        <v>0</v>
      </c>
      <c r="Q101" s="239"/>
      <c r="R101" s="239"/>
      <c r="S101" s="239">
        <f t="shared" si="98"/>
        <v>0</v>
      </c>
      <c r="T101" s="238"/>
      <c r="U101" s="238"/>
      <c r="V101" s="564">
        <f t="shared" si="99"/>
        <v>0</v>
      </c>
      <c r="W101" s="565">
        <f>P101+V101</f>
        <v>0</v>
      </c>
      <c r="X101" s="601">
        <f t="shared" si="100"/>
        <v>0</v>
      </c>
      <c r="Z101" s="860"/>
      <c r="AA101" s="860"/>
      <c r="AB101" s="860"/>
      <c r="AC101" s="860"/>
      <c r="AD101" s="860"/>
      <c r="AE101" s="860"/>
      <c r="AG101" s="860"/>
      <c r="AH101" s="860"/>
      <c r="AI101" s="860"/>
      <c r="AJ101" s="860"/>
      <c r="AK101" s="860"/>
      <c r="AL101" s="860"/>
    </row>
    <row r="102" spans="1:38" s="7" customFormat="1" ht="20.100000000000001" hidden="1" customHeight="1">
      <c r="A102" s="561">
        <v>6</v>
      </c>
      <c r="B102" s="562"/>
      <c r="C102" s="359"/>
      <c r="D102" s="237"/>
      <c r="E102" s="198">
        <f t="shared" si="94"/>
        <v>0</v>
      </c>
      <c r="F102" s="198"/>
      <c r="G102" s="563"/>
      <c r="H102" s="563">
        <f t="shared" si="95"/>
        <v>0</v>
      </c>
      <c r="I102" s="359"/>
      <c r="J102" s="237"/>
      <c r="K102" s="574">
        <f t="shared" si="96"/>
        <v>0</v>
      </c>
      <c r="L102" s="565">
        <f>E102+K102</f>
        <v>0</v>
      </c>
      <c r="M102" s="604"/>
      <c r="N102" s="359"/>
      <c r="O102" s="237"/>
      <c r="P102" s="198">
        <f t="shared" si="97"/>
        <v>0</v>
      </c>
      <c r="Q102" s="198"/>
      <c r="R102" s="563"/>
      <c r="S102" s="563">
        <f t="shared" si="98"/>
        <v>0</v>
      </c>
      <c r="T102" s="359"/>
      <c r="U102" s="237"/>
      <c r="V102" s="574">
        <f t="shared" si="99"/>
        <v>0</v>
      </c>
      <c r="W102" s="565">
        <f>P102+V102</f>
        <v>0</v>
      </c>
      <c r="X102" s="601">
        <f t="shared" si="100"/>
        <v>0</v>
      </c>
      <c r="Z102" s="860"/>
      <c r="AA102" s="860"/>
      <c r="AB102" s="860"/>
      <c r="AC102" s="860"/>
      <c r="AD102" s="860"/>
      <c r="AE102" s="860"/>
      <c r="AG102" s="860"/>
      <c r="AH102" s="860"/>
      <c r="AI102" s="860"/>
      <c r="AJ102" s="860"/>
      <c r="AK102" s="860"/>
      <c r="AL102" s="860"/>
    </row>
    <row r="103" spans="1:38" ht="20.100000000000001" customHeight="1">
      <c r="A103" s="1521" t="s">
        <v>752</v>
      </c>
      <c r="B103" s="1522"/>
      <c r="C103" s="560">
        <f>SUM(C97:C101)</f>
        <v>0</v>
      </c>
      <c r="D103" s="560">
        <f t="shared" ref="D103:L103" si="101">SUM(D97:D101)</f>
        <v>0</v>
      </c>
      <c r="E103" s="560">
        <f t="shared" si="101"/>
        <v>0</v>
      </c>
      <c r="F103" s="560">
        <f t="shared" si="101"/>
        <v>0</v>
      </c>
      <c r="G103" s="560">
        <f t="shared" si="101"/>
        <v>0</v>
      </c>
      <c r="H103" s="560">
        <f t="shared" si="101"/>
        <v>0</v>
      </c>
      <c r="I103" s="560">
        <f t="shared" si="101"/>
        <v>0</v>
      </c>
      <c r="J103" s="560">
        <f t="shared" si="101"/>
        <v>0</v>
      </c>
      <c r="K103" s="575">
        <f t="shared" si="101"/>
        <v>0</v>
      </c>
      <c r="L103" s="560">
        <f t="shared" si="101"/>
        <v>0</v>
      </c>
      <c r="M103" s="604"/>
      <c r="N103" s="560">
        <f>SUM(N97:N101)</f>
        <v>0</v>
      </c>
      <c r="O103" s="560">
        <f t="shared" ref="O103:W103" si="102">SUM(O97:O101)</f>
        <v>0</v>
      </c>
      <c r="P103" s="560">
        <f t="shared" si="102"/>
        <v>0</v>
      </c>
      <c r="Q103" s="560">
        <f t="shared" si="102"/>
        <v>0</v>
      </c>
      <c r="R103" s="560">
        <f t="shared" si="102"/>
        <v>0</v>
      </c>
      <c r="S103" s="560">
        <f t="shared" si="102"/>
        <v>0</v>
      </c>
      <c r="T103" s="560">
        <f t="shared" si="102"/>
        <v>0</v>
      </c>
      <c r="U103" s="560">
        <f t="shared" si="102"/>
        <v>0</v>
      </c>
      <c r="V103" s="575">
        <f t="shared" si="102"/>
        <v>0</v>
      </c>
      <c r="W103" s="560">
        <f t="shared" si="102"/>
        <v>0</v>
      </c>
      <c r="X103" s="601">
        <f t="shared" si="100"/>
        <v>0</v>
      </c>
      <c r="AG103" s="857"/>
      <c r="AH103" s="857"/>
      <c r="AI103" s="857"/>
      <c r="AJ103" s="857"/>
      <c r="AK103" s="857"/>
      <c r="AL103" s="857"/>
    </row>
    <row r="104" spans="1:38" ht="15" customHeight="1">
      <c r="A104" s="1478" t="s">
        <v>354</v>
      </c>
      <c r="B104" s="1479"/>
      <c r="C104" s="1479"/>
      <c r="D104" s="1479"/>
      <c r="E104" s="1479"/>
      <c r="F104" s="1479"/>
      <c r="G104" s="1479"/>
      <c r="H104" s="1479"/>
      <c r="I104" s="1479"/>
      <c r="J104" s="1479"/>
      <c r="K104" s="1479"/>
      <c r="L104" s="1480"/>
      <c r="M104" s="604"/>
      <c r="N104" s="609"/>
      <c r="O104" s="609"/>
      <c r="P104" s="609"/>
      <c r="Q104" s="609"/>
      <c r="R104" s="609"/>
      <c r="S104" s="609"/>
      <c r="T104" s="609"/>
      <c r="U104" s="609"/>
      <c r="V104" s="609"/>
      <c r="W104" s="609"/>
      <c r="X104" s="600"/>
      <c r="AG104" s="857"/>
      <c r="AH104" s="857"/>
      <c r="AI104" s="857"/>
      <c r="AJ104" s="857"/>
      <c r="AK104" s="857"/>
      <c r="AL104" s="857"/>
    </row>
    <row r="105" spans="1:38" s="7" customFormat="1" ht="20.100000000000001" customHeight="1">
      <c r="A105" s="572">
        <v>1</v>
      </c>
      <c r="B105" s="854" t="s">
        <v>1314</v>
      </c>
      <c r="C105" s="862">
        <f>+('107 (a)'!G105*'107(b)'!Z105)/1000000</f>
        <v>30.975000000000001</v>
      </c>
      <c r="D105" s="862">
        <f>+('107 (a)'!G105*'107(b)'!AA105)/1000000</f>
        <v>4.5016999999999996</v>
      </c>
      <c r="E105" s="869">
        <f t="shared" ref="E105:E110" si="103">C105+D105</f>
        <v>35.476700000000001</v>
      </c>
      <c r="F105" s="869">
        <f>+('107 (a)'!H105*'107(b)'!AB105)/100000</f>
        <v>80.683999999999997</v>
      </c>
      <c r="G105" s="869">
        <f>+('107 (a)'!H105*'107(b)'!AC105)/100000</f>
        <v>12.972</v>
      </c>
      <c r="H105" s="869">
        <f t="shared" ref="H105:H110" si="104">F105+G105</f>
        <v>93.655999999999992</v>
      </c>
      <c r="I105" s="862">
        <f>+('107 (a)'!J105*100700)/1000000</f>
        <v>6.0419999999999998</v>
      </c>
      <c r="J105" s="862">
        <f>+('107 (a)'!K105*100700)/1000000</f>
        <v>0</v>
      </c>
      <c r="K105" s="607">
        <f t="shared" ref="K105:K110" si="105">I105+J105</f>
        <v>6.0419999999999998</v>
      </c>
      <c r="L105" s="608">
        <f>E105+K105+H105</f>
        <v>135.1747</v>
      </c>
      <c r="M105" s="604"/>
      <c r="N105" s="271"/>
      <c r="O105" s="271"/>
      <c r="P105" s="606">
        <f t="shared" ref="P105:P110" si="106">N105+O105</f>
        <v>0</v>
      </c>
      <c r="Q105" s="606"/>
      <c r="R105" s="606"/>
      <c r="S105" s="606">
        <f t="shared" ref="S105:S110" si="107">Q105+R105</f>
        <v>0</v>
      </c>
      <c r="T105" s="271"/>
      <c r="U105" s="271"/>
      <c r="V105" s="607">
        <f t="shared" ref="V105:V110" si="108">T105+U105</f>
        <v>0</v>
      </c>
      <c r="W105" s="608">
        <f>P105+V105+S105</f>
        <v>0</v>
      </c>
      <c r="X105" s="601">
        <f t="shared" ref="X105:X111" si="109">W105+L105</f>
        <v>135.1747</v>
      </c>
      <c r="Z105" s="860">
        <f t="shared" ref="Z105" si="110">SUM(AG105*2)</f>
        <v>75000</v>
      </c>
      <c r="AA105" s="860">
        <f t="shared" ref="AA105" si="111">SUM(AH105*2)-500</f>
        <v>10900</v>
      </c>
      <c r="AB105" s="860">
        <f t="shared" ref="AB105" si="112">SUM(AI105*2)-500</f>
        <v>87700</v>
      </c>
      <c r="AC105" s="860">
        <f t="shared" ref="AC105" si="113">SUM(AJ105*2)-500</f>
        <v>14100</v>
      </c>
      <c r="AD105" s="860"/>
      <c r="AE105" s="860"/>
      <c r="AG105" s="860">
        <v>37500</v>
      </c>
      <c r="AH105" s="860">
        <v>5700</v>
      </c>
      <c r="AI105" s="860">
        <v>44100</v>
      </c>
      <c r="AJ105" s="860">
        <v>7300</v>
      </c>
      <c r="AK105" s="860"/>
      <c r="AL105" s="860"/>
    </row>
    <row r="106" spans="1:38" s="7" customFormat="1" ht="20.100000000000001" customHeight="1">
      <c r="A106" s="241">
        <v>2</v>
      </c>
      <c r="B106" s="243"/>
      <c r="C106" s="238"/>
      <c r="D106" s="238"/>
      <c r="E106" s="239">
        <f t="shared" si="103"/>
        <v>0</v>
      </c>
      <c r="F106" s="239"/>
      <c r="G106" s="239"/>
      <c r="H106" s="239">
        <f t="shared" si="104"/>
        <v>0</v>
      </c>
      <c r="I106" s="238"/>
      <c r="J106" s="238"/>
      <c r="K106" s="564">
        <f t="shared" si="105"/>
        <v>0</v>
      </c>
      <c r="L106" s="565">
        <f>E106+K106</f>
        <v>0</v>
      </c>
      <c r="M106" s="604"/>
      <c r="N106" s="238"/>
      <c r="O106" s="238"/>
      <c r="P106" s="239">
        <f t="shared" si="106"/>
        <v>0</v>
      </c>
      <c r="Q106" s="239"/>
      <c r="R106" s="239"/>
      <c r="S106" s="239">
        <f t="shared" si="107"/>
        <v>0</v>
      </c>
      <c r="T106" s="238"/>
      <c r="U106" s="238"/>
      <c r="V106" s="564">
        <f t="shared" si="108"/>
        <v>0</v>
      </c>
      <c r="W106" s="565">
        <f>P106+V106</f>
        <v>0</v>
      </c>
      <c r="X106" s="601">
        <f t="shared" si="109"/>
        <v>0</v>
      </c>
      <c r="Z106" s="860"/>
      <c r="AA106" s="860"/>
      <c r="AB106" s="860"/>
      <c r="AC106" s="860"/>
      <c r="AD106" s="860"/>
      <c r="AE106" s="860"/>
      <c r="AG106" s="860"/>
      <c r="AH106" s="860"/>
      <c r="AI106" s="860"/>
      <c r="AJ106" s="860"/>
      <c r="AK106" s="860"/>
      <c r="AL106" s="860"/>
    </row>
    <row r="107" spans="1:38" s="7" customFormat="1" ht="20.100000000000001" hidden="1" customHeight="1">
      <c r="A107" s="241">
        <v>3</v>
      </c>
      <c r="B107" s="243"/>
      <c r="C107" s="238"/>
      <c r="D107" s="238"/>
      <c r="E107" s="239">
        <f t="shared" si="103"/>
        <v>0</v>
      </c>
      <c r="F107" s="239"/>
      <c r="G107" s="239"/>
      <c r="H107" s="239">
        <f t="shared" si="104"/>
        <v>0</v>
      </c>
      <c r="I107" s="238"/>
      <c r="J107" s="238"/>
      <c r="K107" s="564">
        <f t="shared" si="105"/>
        <v>0</v>
      </c>
      <c r="L107" s="565">
        <f>E107+K107</f>
        <v>0</v>
      </c>
      <c r="M107" s="604"/>
      <c r="N107" s="238"/>
      <c r="O107" s="238"/>
      <c r="P107" s="239">
        <f t="shared" si="106"/>
        <v>0</v>
      </c>
      <c r="Q107" s="239"/>
      <c r="R107" s="239"/>
      <c r="S107" s="239">
        <f t="shared" si="107"/>
        <v>0</v>
      </c>
      <c r="T107" s="238"/>
      <c r="U107" s="238"/>
      <c r="V107" s="564">
        <f t="shared" si="108"/>
        <v>0</v>
      </c>
      <c r="W107" s="565">
        <f>P107+V107</f>
        <v>0</v>
      </c>
      <c r="X107" s="601">
        <f t="shared" si="109"/>
        <v>0</v>
      </c>
      <c r="Z107" s="860"/>
      <c r="AA107" s="860"/>
      <c r="AB107" s="860"/>
      <c r="AC107" s="860"/>
      <c r="AD107" s="860"/>
      <c r="AE107" s="860"/>
      <c r="AG107" s="860"/>
      <c r="AH107" s="860"/>
      <c r="AI107" s="860"/>
      <c r="AJ107" s="860"/>
      <c r="AK107" s="860"/>
      <c r="AL107" s="860"/>
    </row>
    <row r="108" spans="1:38" s="7" customFormat="1" ht="20.100000000000001" hidden="1" customHeight="1">
      <c r="A108" s="241">
        <v>4</v>
      </c>
      <c r="B108" s="243"/>
      <c r="C108" s="238"/>
      <c r="D108" s="238"/>
      <c r="E108" s="239">
        <f t="shared" si="103"/>
        <v>0</v>
      </c>
      <c r="F108" s="239"/>
      <c r="G108" s="239"/>
      <c r="H108" s="239">
        <f t="shared" si="104"/>
        <v>0</v>
      </c>
      <c r="I108" s="238"/>
      <c r="J108" s="238"/>
      <c r="K108" s="564">
        <f t="shared" si="105"/>
        <v>0</v>
      </c>
      <c r="L108" s="565">
        <f>E108+K108</f>
        <v>0</v>
      </c>
      <c r="M108" s="604"/>
      <c r="N108" s="238"/>
      <c r="O108" s="238"/>
      <c r="P108" s="239">
        <f t="shared" si="106"/>
        <v>0</v>
      </c>
      <c r="Q108" s="239"/>
      <c r="R108" s="239"/>
      <c r="S108" s="239">
        <f t="shared" si="107"/>
        <v>0</v>
      </c>
      <c r="T108" s="238"/>
      <c r="U108" s="238"/>
      <c r="V108" s="564">
        <f t="shared" si="108"/>
        <v>0</v>
      </c>
      <c r="W108" s="565">
        <f>P108+V108</f>
        <v>0</v>
      </c>
      <c r="X108" s="601">
        <f t="shared" si="109"/>
        <v>0</v>
      </c>
      <c r="Z108" s="860"/>
      <c r="AA108" s="860"/>
      <c r="AB108" s="860"/>
      <c r="AC108" s="860"/>
      <c r="AD108" s="860"/>
      <c r="AE108" s="860"/>
      <c r="AG108" s="860"/>
      <c r="AH108" s="860"/>
      <c r="AI108" s="860"/>
      <c r="AJ108" s="860"/>
      <c r="AK108" s="860"/>
      <c r="AL108" s="860"/>
    </row>
    <row r="109" spans="1:38" s="7" customFormat="1" ht="20.100000000000001" hidden="1" customHeight="1">
      <c r="A109" s="241">
        <v>5</v>
      </c>
      <c r="B109" s="243"/>
      <c r="C109" s="238"/>
      <c r="D109" s="238"/>
      <c r="E109" s="239">
        <f t="shared" si="103"/>
        <v>0</v>
      </c>
      <c r="F109" s="239"/>
      <c r="G109" s="239"/>
      <c r="H109" s="239">
        <f t="shared" si="104"/>
        <v>0</v>
      </c>
      <c r="I109" s="238"/>
      <c r="J109" s="238"/>
      <c r="K109" s="564">
        <f t="shared" si="105"/>
        <v>0</v>
      </c>
      <c r="L109" s="565">
        <f>E109+K109</f>
        <v>0</v>
      </c>
      <c r="M109" s="604"/>
      <c r="N109" s="238"/>
      <c r="O109" s="238"/>
      <c r="P109" s="239">
        <f t="shared" si="106"/>
        <v>0</v>
      </c>
      <c r="Q109" s="239"/>
      <c r="R109" s="239"/>
      <c r="S109" s="239">
        <f t="shared" si="107"/>
        <v>0</v>
      </c>
      <c r="T109" s="238"/>
      <c r="U109" s="238"/>
      <c r="V109" s="564">
        <f t="shared" si="108"/>
        <v>0</v>
      </c>
      <c r="W109" s="565">
        <f>P109+V109</f>
        <v>0</v>
      </c>
      <c r="X109" s="601">
        <f t="shared" si="109"/>
        <v>0</v>
      </c>
      <c r="Z109" s="860"/>
      <c r="AA109" s="860"/>
      <c r="AB109" s="860"/>
      <c r="AC109" s="860"/>
      <c r="AD109" s="860"/>
      <c r="AE109" s="860"/>
      <c r="AG109" s="860"/>
      <c r="AH109" s="860"/>
      <c r="AI109" s="860"/>
      <c r="AJ109" s="860"/>
      <c r="AK109" s="860"/>
      <c r="AL109" s="860"/>
    </row>
    <row r="110" spans="1:38" s="7" customFormat="1" ht="20.100000000000001" hidden="1" customHeight="1">
      <c r="A110" s="561">
        <v>6</v>
      </c>
      <c r="B110" s="562"/>
      <c r="C110" s="359"/>
      <c r="D110" s="237"/>
      <c r="E110" s="198">
        <f t="shared" si="103"/>
        <v>0</v>
      </c>
      <c r="F110" s="198"/>
      <c r="G110" s="563"/>
      <c r="H110" s="563">
        <f t="shared" si="104"/>
        <v>0</v>
      </c>
      <c r="I110" s="359"/>
      <c r="J110" s="237"/>
      <c r="K110" s="574">
        <f t="shared" si="105"/>
        <v>0</v>
      </c>
      <c r="L110" s="565">
        <f>E110+K110</f>
        <v>0</v>
      </c>
      <c r="M110" s="604"/>
      <c r="N110" s="359"/>
      <c r="O110" s="237"/>
      <c r="P110" s="198">
        <f t="shared" si="106"/>
        <v>0</v>
      </c>
      <c r="Q110" s="198"/>
      <c r="R110" s="563"/>
      <c r="S110" s="563">
        <f t="shared" si="107"/>
        <v>0</v>
      </c>
      <c r="T110" s="359"/>
      <c r="U110" s="237"/>
      <c r="V110" s="574">
        <f t="shared" si="108"/>
        <v>0</v>
      </c>
      <c r="W110" s="565">
        <f>P110+V110</f>
        <v>0</v>
      </c>
      <c r="X110" s="601">
        <f t="shared" si="109"/>
        <v>0</v>
      </c>
      <c r="Z110" s="860"/>
      <c r="AA110" s="860"/>
      <c r="AB110" s="860"/>
      <c r="AC110" s="860"/>
      <c r="AD110" s="860"/>
      <c r="AE110" s="860"/>
      <c r="AG110" s="860"/>
      <c r="AH110" s="860"/>
      <c r="AI110" s="860"/>
      <c r="AJ110" s="860"/>
      <c r="AK110" s="860"/>
      <c r="AL110" s="860"/>
    </row>
    <row r="111" spans="1:38" ht="20.100000000000001" customHeight="1">
      <c r="A111" s="1521" t="s">
        <v>752</v>
      </c>
      <c r="B111" s="1522"/>
      <c r="C111" s="560">
        <f>SUM(C105:C109)</f>
        <v>30.975000000000001</v>
      </c>
      <c r="D111" s="560">
        <f t="shared" ref="D111:L111" si="114">SUM(D105:D109)</f>
        <v>4.5016999999999996</v>
      </c>
      <c r="E111" s="560">
        <f t="shared" si="114"/>
        <v>35.476700000000001</v>
      </c>
      <c r="F111" s="560">
        <f t="shared" si="114"/>
        <v>80.683999999999997</v>
      </c>
      <c r="G111" s="560">
        <f t="shared" si="114"/>
        <v>12.972</v>
      </c>
      <c r="H111" s="560">
        <f t="shared" si="114"/>
        <v>93.655999999999992</v>
      </c>
      <c r="I111" s="560">
        <f t="shared" si="114"/>
        <v>6.0419999999999998</v>
      </c>
      <c r="J111" s="560">
        <f t="shared" si="114"/>
        <v>0</v>
      </c>
      <c r="K111" s="575">
        <f t="shared" si="114"/>
        <v>6.0419999999999998</v>
      </c>
      <c r="L111" s="560">
        <f t="shared" si="114"/>
        <v>135.1747</v>
      </c>
      <c r="M111" s="604"/>
      <c r="N111" s="560">
        <f>SUM(N105:N109)</f>
        <v>0</v>
      </c>
      <c r="O111" s="560">
        <f t="shared" ref="O111:W111" si="115">SUM(O105:O109)</f>
        <v>0</v>
      </c>
      <c r="P111" s="560">
        <f t="shared" si="115"/>
        <v>0</v>
      </c>
      <c r="Q111" s="560">
        <f t="shared" si="115"/>
        <v>0</v>
      </c>
      <c r="R111" s="560">
        <f t="shared" si="115"/>
        <v>0</v>
      </c>
      <c r="S111" s="560">
        <f t="shared" si="115"/>
        <v>0</v>
      </c>
      <c r="T111" s="560">
        <f t="shared" si="115"/>
        <v>0</v>
      </c>
      <c r="U111" s="560">
        <f t="shared" si="115"/>
        <v>0</v>
      </c>
      <c r="V111" s="575">
        <f t="shared" si="115"/>
        <v>0</v>
      </c>
      <c r="W111" s="560">
        <f t="shared" si="115"/>
        <v>0</v>
      </c>
      <c r="X111" s="601">
        <f t="shared" si="109"/>
        <v>135.1747</v>
      </c>
      <c r="AG111" s="857"/>
      <c r="AH111" s="857"/>
      <c r="AI111" s="857"/>
      <c r="AJ111" s="857"/>
      <c r="AK111" s="857"/>
      <c r="AL111" s="857"/>
    </row>
    <row r="112" spans="1:38" ht="15" customHeight="1">
      <c r="A112" s="1478" t="s">
        <v>996</v>
      </c>
      <c r="B112" s="1479"/>
      <c r="C112" s="1479"/>
      <c r="D112" s="1479"/>
      <c r="E112" s="1479"/>
      <c r="F112" s="1479"/>
      <c r="G112" s="1479"/>
      <c r="H112" s="1479"/>
      <c r="I112" s="1479"/>
      <c r="J112" s="1479"/>
      <c r="K112" s="1479"/>
      <c r="L112" s="1480"/>
      <c r="M112" s="604"/>
      <c r="N112" s="609"/>
      <c r="O112" s="609"/>
      <c r="P112" s="609"/>
      <c r="Q112" s="609"/>
      <c r="R112" s="609"/>
      <c r="S112" s="609"/>
      <c r="T112" s="609"/>
      <c r="U112" s="609"/>
      <c r="V112" s="609"/>
      <c r="W112" s="609"/>
      <c r="X112" s="600"/>
      <c r="AG112" s="857"/>
      <c r="AH112" s="857"/>
      <c r="AI112" s="857"/>
      <c r="AJ112" s="857"/>
      <c r="AK112" s="857"/>
      <c r="AL112" s="857"/>
    </row>
    <row r="113" spans="1:38" s="7" customFormat="1" ht="20.100000000000001" customHeight="1">
      <c r="A113" s="572">
        <v>1</v>
      </c>
      <c r="B113" s="853" t="s">
        <v>1310</v>
      </c>
      <c r="C113" s="862">
        <f>+('107 (a)'!C113*'107(b)'!Z113)/1000000</f>
        <v>2.5459999999999998</v>
      </c>
      <c r="D113" s="862">
        <f>+('107 (a)'!C113*'107(b)'!AA113)/1000000</f>
        <v>0.53580000000000005</v>
      </c>
      <c r="E113" s="869">
        <f t="shared" ref="E113:E118" si="116">C113+D113</f>
        <v>3.0817999999999999</v>
      </c>
      <c r="F113" s="606"/>
      <c r="G113" s="606"/>
      <c r="H113" s="606">
        <f t="shared" ref="H113:H118" si="117">F113+G113</f>
        <v>0</v>
      </c>
      <c r="I113" s="271"/>
      <c r="J113" s="271"/>
      <c r="K113" s="607">
        <f t="shared" ref="K113:K118" si="118">I113+J113</f>
        <v>0</v>
      </c>
      <c r="L113" s="608">
        <f>E113+K113+H113</f>
        <v>3.0817999999999999</v>
      </c>
      <c r="M113" s="604"/>
      <c r="N113" s="862">
        <f>+('107 (a)'!U113*'107 (a)'!AB113)/1000000</f>
        <v>1.8180000000000001</v>
      </c>
      <c r="O113" s="271"/>
      <c r="P113" s="606">
        <f t="shared" ref="P113:P118" si="119">N113+O113</f>
        <v>1.8180000000000001</v>
      </c>
      <c r="Q113" s="606"/>
      <c r="R113" s="606"/>
      <c r="S113" s="606">
        <f t="shared" ref="S113:S118" si="120">Q113+R113</f>
        <v>0</v>
      </c>
      <c r="T113" s="271"/>
      <c r="U113" s="271"/>
      <c r="V113" s="607">
        <f t="shared" ref="V113:V118" si="121">T113+U113</f>
        <v>0</v>
      </c>
      <c r="W113" s="608">
        <f>P113+V113+S113</f>
        <v>1.8180000000000001</v>
      </c>
      <c r="X113" s="601">
        <f t="shared" ref="X113:X120" si="122">W113+L113</f>
        <v>4.8997999999999999</v>
      </c>
      <c r="Z113" s="860">
        <f t="shared" ref="Z113" si="123">SUM(AG113*2)</f>
        <v>67000</v>
      </c>
      <c r="AA113" s="860">
        <f t="shared" ref="AA113" si="124">SUM(AH113*2)-500</f>
        <v>14100</v>
      </c>
      <c r="AB113" s="860">
        <f t="shared" ref="AB113" si="125">SUM(AI113*2)-500</f>
        <v>85100</v>
      </c>
      <c r="AC113" s="860">
        <f t="shared" ref="AC113" si="126">SUM(AJ113*2)-500</f>
        <v>14100</v>
      </c>
      <c r="AD113" s="860"/>
      <c r="AE113" s="860"/>
      <c r="AG113" s="860">
        <v>33500</v>
      </c>
      <c r="AH113" s="860">
        <v>7300</v>
      </c>
      <c r="AI113" s="860">
        <v>42800</v>
      </c>
      <c r="AJ113" s="860">
        <v>7300</v>
      </c>
      <c r="AK113" s="860"/>
      <c r="AL113" s="860"/>
    </row>
    <row r="114" spans="1:38" s="7" customFormat="1" ht="20.100000000000001" customHeight="1">
      <c r="A114" s="241">
        <v>2</v>
      </c>
      <c r="B114" s="243"/>
      <c r="C114" s="238"/>
      <c r="D114" s="238"/>
      <c r="E114" s="239">
        <f t="shared" si="116"/>
        <v>0</v>
      </c>
      <c r="F114" s="239"/>
      <c r="G114" s="239"/>
      <c r="H114" s="239">
        <f t="shared" si="117"/>
        <v>0</v>
      </c>
      <c r="I114" s="238"/>
      <c r="J114" s="238"/>
      <c r="K114" s="564">
        <f t="shared" si="118"/>
        <v>0</v>
      </c>
      <c r="L114" s="565">
        <f>E114+K114</f>
        <v>0</v>
      </c>
      <c r="M114" s="604"/>
      <c r="N114" s="238"/>
      <c r="O114" s="238"/>
      <c r="P114" s="239">
        <f t="shared" si="119"/>
        <v>0</v>
      </c>
      <c r="Q114" s="239"/>
      <c r="R114" s="239"/>
      <c r="S114" s="239">
        <f t="shared" si="120"/>
        <v>0</v>
      </c>
      <c r="T114" s="238"/>
      <c r="U114" s="238"/>
      <c r="V114" s="564">
        <f t="shared" si="121"/>
        <v>0</v>
      </c>
      <c r="W114" s="565">
        <f>P114+V114</f>
        <v>0</v>
      </c>
      <c r="X114" s="601">
        <f t="shared" si="122"/>
        <v>0</v>
      </c>
      <c r="Z114" s="860"/>
      <c r="AA114" s="860"/>
      <c r="AB114" s="860"/>
      <c r="AC114" s="860"/>
      <c r="AD114" s="860"/>
      <c r="AE114" s="860"/>
      <c r="AG114" s="860"/>
      <c r="AH114" s="860"/>
      <c r="AI114" s="860"/>
      <c r="AJ114" s="860"/>
      <c r="AK114" s="860"/>
      <c r="AL114" s="860"/>
    </row>
    <row r="115" spans="1:38" s="7" customFormat="1" ht="20.100000000000001" hidden="1" customHeight="1">
      <c r="A115" s="241">
        <v>3</v>
      </c>
      <c r="B115" s="243"/>
      <c r="C115" s="238"/>
      <c r="D115" s="238"/>
      <c r="E115" s="239">
        <f t="shared" si="116"/>
        <v>0</v>
      </c>
      <c r="F115" s="239"/>
      <c r="G115" s="239"/>
      <c r="H115" s="239">
        <f t="shared" si="117"/>
        <v>0</v>
      </c>
      <c r="I115" s="238"/>
      <c r="J115" s="238"/>
      <c r="K115" s="564">
        <f t="shared" si="118"/>
        <v>0</v>
      </c>
      <c r="L115" s="565">
        <f>E115+K115</f>
        <v>0</v>
      </c>
      <c r="M115" s="604"/>
      <c r="N115" s="238"/>
      <c r="O115" s="238"/>
      <c r="P115" s="239">
        <f t="shared" si="119"/>
        <v>0</v>
      </c>
      <c r="Q115" s="239"/>
      <c r="R115" s="239"/>
      <c r="S115" s="239">
        <f t="shared" si="120"/>
        <v>0</v>
      </c>
      <c r="T115" s="238"/>
      <c r="U115" s="238"/>
      <c r="V115" s="564">
        <f t="shared" si="121"/>
        <v>0</v>
      </c>
      <c r="W115" s="565">
        <f>P115+V115</f>
        <v>0</v>
      </c>
      <c r="X115" s="601">
        <f t="shared" si="122"/>
        <v>0</v>
      </c>
      <c r="Z115" s="860"/>
      <c r="AA115" s="860"/>
      <c r="AB115" s="860"/>
      <c r="AC115" s="860"/>
      <c r="AD115" s="860"/>
      <c r="AE115" s="860"/>
      <c r="AG115" s="860"/>
      <c r="AH115" s="860"/>
      <c r="AI115" s="860"/>
      <c r="AJ115" s="860"/>
      <c r="AK115" s="860"/>
      <c r="AL115" s="860"/>
    </row>
    <row r="116" spans="1:38" s="7" customFormat="1" ht="20.100000000000001" hidden="1" customHeight="1">
      <c r="A116" s="241">
        <v>4</v>
      </c>
      <c r="B116" s="243"/>
      <c r="C116" s="238"/>
      <c r="D116" s="238"/>
      <c r="E116" s="239">
        <f t="shared" si="116"/>
        <v>0</v>
      </c>
      <c r="F116" s="239"/>
      <c r="G116" s="239"/>
      <c r="H116" s="239">
        <f t="shared" si="117"/>
        <v>0</v>
      </c>
      <c r="I116" s="238"/>
      <c r="J116" s="238"/>
      <c r="K116" s="564">
        <f t="shared" si="118"/>
        <v>0</v>
      </c>
      <c r="L116" s="565">
        <f>E116+K116</f>
        <v>0</v>
      </c>
      <c r="M116" s="604"/>
      <c r="N116" s="238"/>
      <c r="O116" s="238"/>
      <c r="P116" s="239">
        <f t="shared" si="119"/>
        <v>0</v>
      </c>
      <c r="Q116" s="239"/>
      <c r="R116" s="239"/>
      <c r="S116" s="239">
        <f t="shared" si="120"/>
        <v>0</v>
      </c>
      <c r="T116" s="238"/>
      <c r="U116" s="238"/>
      <c r="V116" s="564">
        <f t="shared" si="121"/>
        <v>0</v>
      </c>
      <c r="W116" s="565">
        <f>P116+V116</f>
        <v>0</v>
      </c>
      <c r="X116" s="601">
        <f t="shared" si="122"/>
        <v>0</v>
      </c>
      <c r="Z116" s="860"/>
      <c r="AA116" s="860"/>
      <c r="AB116" s="860"/>
      <c r="AC116" s="860"/>
      <c r="AD116" s="860"/>
      <c r="AE116" s="860"/>
      <c r="AG116" s="860"/>
      <c r="AH116" s="860"/>
      <c r="AI116" s="860"/>
      <c r="AJ116" s="860"/>
      <c r="AK116" s="860"/>
      <c r="AL116" s="860"/>
    </row>
    <row r="117" spans="1:38" s="7" customFormat="1" ht="20.100000000000001" hidden="1" customHeight="1">
      <c r="A117" s="241">
        <v>5</v>
      </c>
      <c r="B117" s="243"/>
      <c r="C117" s="238"/>
      <c r="D117" s="238"/>
      <c r="E117" s="239">
        <f t="shared" si="116"/>
        <v>0</v>
      </c>
      <c r="F117" s="239"/>
      <c r="G117" s="239"/>
      <c r="H117" s="239">
        <f t="shared" si="117"/>
        <v>0</v>
      </c>
      <c r="I117" s="238"/>
      <c r="J117" s="238"/>
      <c r="K117" s="564">
        <f t="shared" si="118"/>
        <v>0</v>
      </c>
      <c r="L117" s="565">
        <f>E117+K117</f>
        <v>0</v>
      </c>
      <c r="M117" s="604"/>
      <c r="N117" s="238"/>
      <c r="O117" s="238"/>
      <c r="P117" s="239">
        <f t="shared" si="119"/>
        <v>0</v>
      </c>
      <c r="Q117" s="239"/>
      <c r="R117" s="239"/>
      <c r="S117" s="239">
        <f t="shared" si="120"/>
        <v>0</v>
      </c>
      <c r="T117" s="238"/>
      <c r="U117" s="238"/>
      <c r="V117" s="564">
        <f t="shared" si="121"/>
        <v>0</v>
      </c>
      <c r="W117" s="565">
        <f>P117+V117</f>
        <v>0</v>
      </c>
      <c r="X117" s="601">
        <f t="shared" si="122"/>
        <v>0</v>
      </c>
      <c r="Z117" s="860"/>
      <c r="AA117" s="860"/>
      <c r="AB117" s="860"/>
      <c r="AC117" s="860"/>
      <c r="AD117" s="860"/>
      <c r="AE117" s="860"/>
      <c r="AG117" s="860"/>
      <c r="AH117" s="860"/>
      <c r="AI117" s="860"/>
      <c r="AJ117" s="860"/>
      <c r="AK117" s="860"/>
      <c r="AL117" s="860"/>
    </row>
    <row r="118" spans="1:38" s="7" customFormat="1" ht="20.100000000000001" hidden="1" customHeight="1">
      <c r="A118" s="561">
        <v>6</v>
      </c>
      <c r="B118" s="562"/>
      <c r="C118" s="359"/>
      <c r="D118" s="237"/>
      <c r="E118" s="198">
        <f t="shared" si="116"/>
        <v>0</v>
      </c>
      <c r="F118" s="198"/>
      <c r="G118" s="563"/>
      <c r="H118" s="563">
        <f t="shared" si="117"/>
        <v>0</v>
      </c>
      <c r="I118" s="359"/>
      <c r="J118" s="237"/>
      <c r="K118" s="574">
        <f t="shared" si="118"/>
        <v>0</v>
      </c>
      <c r="L118" s="565">
        <f>E118+K118</f>
        <v>0</v>
      </c>
      <c r="M118" s="604"/>
      <c r="N118" s="359"/>
      <c r="O118" s="237"/>
      <c r="P118" s="198">
        <f t="shared" si="119"/>
        <v>0</v>
      </c>
      <c r="Q118" s="198"/>
      <c r="R118" s="563"/>
      <c r="S118" s="563">
        <f t="shared" si="120"/>
        <v>0</v>
      </c>
      <c r="T118" s="359"/>
      <c r="U118" s="237"/>
      <c r="V118" s="574">
        <f t="shared" si="121"/>
        <v>0</v>
      </c>
      <c r="W118" s="565">
        <f>P118+V118</f>
        <v>0</v>
      </c>
      <c r="X118" s="601">
        <f t="shared" si="122"/>
        <v>0</v>
      </c>
      <c r="Z118" s="860"/>
      <c r="AA118" s="860"/>
      <c r="AB118" s="860"/>
      <c r="AC118" s="860"/>
      <c r="AD118" s="860"/>
      <c r="AE118" s="860"/>
      <c r="AG118" s="860"/>
      <c r="AH118" s="860"/>
      <c r="AI118" s="860"/>
      <c r="AJ118" s="860"/>
      <c r="AK118" s="860"/>
      <c r="AL118" s="860"/>
    </row>
    <row r="119" spans="1:38" ht="20.100000000000001" customHeight="1">
      <c r="A119" s="1521" t="s">
        <v>752</v>
      </c>
      <c r="B119" s="1522"/>
      <c r="C119" s="560">
        <f>SUM(C113:C117)</f>
        <v>2.5459999999999998</v>
      </c>
      <c r="D119" s="560">
        <f t="shared" ref="D119:L119" si="127">SUM(D113:D117)</f>
        <v>0.53580000000000005</v>
      </c>
      <c r="E119" s="560">
        <f t="shared" si="127"/>
        <v>3.0817999999999999</v>
      </c>
      <c r="F119" s="560">
        <f t="shared" si="127"/>
        <v>0</v>
      </c>
      <c r="G119" s="560">
        <f t="shared" si="127"/>
        <v>0</v>
      </c>
      <c r="H119" s="560">
        <f t="shared" si="127"/>
        <v>0</v>
      </c>
      <c r="I119" s="560">
        <f t="shared" si="127"/>
        <v>0</v>
      </c>
      <c r="J119" s="560">
        <f t="shared" si="127"/>
        <v>0</v>
      </c>
      <c r="K119" s="575">
        <f t="shared" si="127"/>
        <v>0</v>
      </c>
      <c r="L119" s="560">
        <f t="shared" si="127"/>
        <v>3.0817999999999999</v>
      </c>
      <c r="M119" s="604"/>
      <c r="N119" s="865">
        <f>SUM(N113:N117)</f>
        <v>1.8180000000000001</v>
      </c>
      <c r="O119" s="560">
        <f t="shared" ref="O119:W119" si="128">SUM(O113:O117)</f>
        <v>0</v>
      </c>
      <c r="P119" s="560">
        <f t="shared" si="128"/>
        <v>1.8180000000000001</v>
      </c>
      <c r="Q119" s="560">
        <f t="shared" si="128"/>
        <v>0</v>
      </c>
      <c r="R119" s="560">
        <f t="shared" si="128"/>
        <v>0</v>
      </c>
      <c r="S119" s="560">
        <f t="shared" si="128"/>
        <v>0</v>
      </c>
      <c r="T119" s="560">
        <f t="shared" si="128"/>
        <v>0</v>
      </c>
      <c r="U119" s="560">
        <f t="shared" si="128"/>
        <v>0</v>
      </c>
      <c r="V119" s="575">
        <f t="shared" si="128"/>
        <v>0</v>
      </c>
      <c r="W119" s="560">
        <f t="shared" si="128"/>
        <v>1.8180000000000001</v>
      </c>
      <c r="X119" s="601">
        <f t="shared" si="122"/>
        <v>4.8997999999999999</v>
      </c>
      <c r="AG119" s="857"/>
      <c r="AH119" s="857"/>
      <c r="AI119" s="857"/>
      <c r="AJ119" s="857"/>
      <c r="AK119" s="857"/>
      <c r="AL119" s="857"/>
    </row>
    <row r="120" spans="1:38" ht="34.5" customHeight="1">
      <c r="A120" s="1537" t="s">
        <v>1024</v>
      </c>
      <c r="B120" s="1538"/>
      <c r="C120" s="882">
        <f t="shared" ref="C120:L120" si="129">C21+C36+C44+C56+C71+C79+C87+C95+C103+C119+C111</f>
        <v>437.43119999999999</v>
      </c>
      <c r="D120" s="882">
        <f t="shared" si="129"/>
        <v>75.016699999999986</v>
      </c>
      <c r="E120" s="882">
        <f t="shared" si="129"/>
        <v>487.59890000000001</v>
      </c>
      <c r="F120" s="882">
        <f t="shared" si="129"/>
        <v>284.46340000000004</v>
      </c>
      <c r="G120" s="882">
        <f t="shared" si="129"/>
        <v>48.1</v>
      </c>
      <c r="H120" s="882">
        <f t="shared" si="129"/>
        <v>304.99340000000001</v>
      </c>
      <c r="I120" s="882">
        <f t="shared" si="129"/>
        <v>159.00529999999998</v>
      </c>
      <c r="J120" s="882">
        <f t="shared" si="129"/>
        <v>74.316600000000008</v>
      </c>
      <c r="K120" s="882">
        <f t="shared" si="129"/>
        <v>223.554</v>
      </c>
      <c r="L120" s="882">
        <f t="shared" si="129"/>
        <v>1005.6231000000001</v>
      </c>
      <c r="M120" s="605"/>
      <c r="N120" s="882">
        <f t="shared" ref="N120:W120" si="130">N21+N36+N44+N56+N71+N79+N87+N95+N103+N119+N111</f>
        <v>309.67059999999992</v>
      </c>
      <c r="O120" s="602">
        <f t="shared" si="130"/>
        <v>0</v>
      </c>
      <c r="P120" s="602">
        <f t="shared" si="130"/>
        <v>286.38279999999997</v>
      </c>
      <c r="Q120" s="602">
        <f t="shared" si="130"/>
        <v>37.863</v>
      </c>
      <c r="R120" s="602">
        <f t="shared" si="130"/>
        <v>0</v>
      </c>
      <c r="S120" s="602">
        <f t="shared" si="130"/>
        <v>37.863</v>
      </c>
      <c r="T120" s="602">
        <f t="shared" si="130"/>
        <v>0</v>
      </c>
      <c r="U120" s="602">
        <f t="shared" si="130"/>
        <v>0</v>
      </c>
      <c r="V120" s="602">
        <f t="shared" si="130"/>
        <v>0</v>
      </c>
      <c r="W120" s="602">
        <f t="shared" si="130"/>
        <v>324.24580000000003</v>
      </c>
      <c r="X120" s="889">
        <f t="shared" si="122"/>
        <v>1329.8689000000002</v>
      </c>
      <c r="Z120" s="861"/>
      <c r="AA120" s="861"/>
      <c r="AB120" s="861"/>
      <c r="AC120" s="861"/>
      <c r="AD120" s="861"/>
      <c r="AE120" s="861"/>
      <c r="AF120" s="602"/>
      <c r="AG120" s="602"/>
    </row>
    <row r="127" spans="1:38" ht="18">
      <c r="T127" s="656" t="s">
        <v>1029</v>
      </c>
      <c r="U127" s="657"/>
      <c r="V127" s="657"/>
      <c r="W127" s="657"/>
      <c r="X127" s="658"/>
      <c r="Y127" s="599"/>
    </row>
  </sheetData>
  <mergeCells count="45">
    <mergeCell ref="AG9:AH9"/>
    <mergeCell ref="AI9:AJ9"/>
    <mergeCell ref="AK9:AL9"/>
    <mergeCell ref="A103:B103"/>
    <mergeCell ref="Z9:AA9"/>
    <mergeCell ref="AB9:AC9"/>
    <mergeCell ref="AD9:AE9"/>
    <mergeCell ref="A44:B44"/>
    <mergeCell ref="A37:L37"/>
    <mergeCell ref="A21:B21"/>
    <mergeCell ref="A36:B36"/>
    <mergeCell ref="A10:L10"/>
    <mergeCell ref="A22:L22"/>
    <mergeCell ref="A120:B120"/>
    <mergeCell ref="A45:L45"/>
    <mergeCell ref="A57:L57"/>
    <mergeCell ref="A72:L72"/>
    <mergeCell ref="A80:L80"/>
    <mergeCell ref="A88:L88"/>
    <mergeCell ref="A56:B56"/>
    <mergeCell ref="A71:B71"/>
    <mergeCell ref="A79:B79"/>
    <mergeCell ref="A87:B87"/>
    <mergeCell ref="A96:L96"/>
    <mergeCell ref="A104:L104"/>
    <mergeCell ref="A111:B111"/>
    <mergeCell ref="A112:L112"/>
    <mergeCell ref="A119:B119"/>
    <mergeCell ref="A95:B95"/>
    <mergeCell ref="W1:X1"/>
    <mergeCell ref="N7:W7"/>
    <mergeCell ref="N8:P8"/>
    <mergeCell ref="Q8:S8"/>
    <mergeCell ref="T8:V8"/>
    <mergeCell ref="W8:W9"/>
    <mergeCell ref="N6:W6"/>
    <mergeCell ref="A2:X2"/>
    <mergeCell ref="X6:X9"/>
    <mergeCell ref="A6:B9"/>
    <mergeCell ref="C7:L7"/>
    <mergeCell ref="F8:H8"/>
    <mergeCell ref="C8:E8"/>
    <mergeCell ref="I8:K8"/>
    <mergeCell ref="L8:L9"/>
    <mergeCell ref="C6:L6"/>
  </mergeCells>
  <printOptions horizontalCentered="1"/>
  <pageMargins left="0.25" right="0.25" top="0.25" bottom="0.25" header="0.25" footer="0.25"/>
  <pageSetup paperSize="9" scale="66" fitToWidth="0" fitToHeight="0" orientation="landscape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AI136"/>
  <sheetViews>
    <sheetView view="pageBreakPreview" zoomScaleSheetLayoutView="100" workbookViewId="0">
      <pane xSplit="2" ySplit="9" topLeftCell="C52" activePane="bottomRight" state="frozen"/>
      <selection pane="topRight" activeCell="C1" sqref="C1"/>
      <selection pane="bottomLeft" activeCell="A10" sqref="A10"/>
      <selection pane="bottomRight" activeCell="AB120" sqref="AB120"/>
    </sheetView>
  </sheetViews>
  <sheetFormatPr defaultRowHeight="15.75"/>
  <cols>
    <col min="1" max="1" width="3.7109375" style="233" customWidth="1"/>
    <col min="2" max="2" width="22.7109375" style="190" customWidth="1"/>
    <col min="3" max="6" width="7.5703125" style="1" bestFit="1" customWidth="1"/>
    <col min="7" max="7" width="7.5703125" style="1" customWidth="1"/>
    <col min="8" max="8" width="7.5703125" style="1" bestFit="1" customWidth="1"/>
    <col min="9" max="9" width="9.5703125" style="1" bestFit="1" customWidth="1"/>
    <col min="10" max="10" width="7.5703125" style="1" bestFit="1" customWidth="1"/>
    <col min="11" max="11" width="6.7109375" style="1" customWidth="1"/>
    <col min="12" max="12" width="7.5703125" style="1" bestFit="1" customWidth="1"/>
    <col min="13" max="13" width="8.7109375" style="1" bestFit="1" customWidth="1"/>
    <col min="14" max="14" width="1.28515625" style="1" customWidth="1"/>
    <col min="15" max="15" width="6.7109375" style="9" customWidth="1"/>
    <col min="16" max="16" width="7.5703125" style="9" bestFit="1" customWidth="1"/>
    <col min="17" max="18" width="6.7109375" style="9" customWidth="1"/>
    <col min="19" max="19" width="7.42578125" style="9" customWidth="1"/>
    <col min="20" max="20" width="6.7109375" style="9" customWidth="1"/>
    <col min="21" max="21" width="8.85546875" style="9" customWidth="1"/>
    <col min="22" max="24" width="6.7109375" style="9" customWidth="1"/>
    <col min="25" max="25" width="8.140625" style="9" customWidth="1"/>
    <col min="26" max="26" width="13.140625" style="599" bestFit="1" customWidth="1"/>
    <col min="27" max="27" width="9.140625" style="9"/>
    <col min="28" max="29" width="11.28515625" style="883" bestFit="1" customWidth="1"/>
    <col min="30" max="239" width="9.140625" style="9"/>
    <col min="240" max="240" width="38.5703125" style="9" customWidth="1"/>
    <col min="241" max="241" width="6.5703125" style="9" customWidth="1"/>
    <col min="242" max="242" width="7.7109375" style="9" bestFit="1" customWidth="1"/>
    <col min="243" max="243" width="7.28515625" style="9" customWidth="1"/>
    <col min="244" max="244" width="6.5703125" style="9" bestFit="1" customWidth="1"/>
    <col min="245" max="245" width="7.28515625" style="9" bestFit="1" customWidth="1"/>
    <col min="246" max="246" width="8.140625" style="9" customWidth="1"/>
    <col min="247" max="247" width="7.140625" style="9" customWidth="1"/>
    <col min="248" max="248" width="7.7109375" style="9" bestFit="1" customWidth="1"/>
    <col min="249" max="249" width="7.28515625" style="9" customWidth="1"/>
    <col min="250" max="250" width="7" style="9" customWidth="1"/>
    <col min="251" max="251" width="7.5703125" style="9" customWidth="1"/>
    <col min="252" max="252" width="7.140625" style="9" customWidth="1"/>
    <col min="253" max="253" width="7" style="9" customWidth="1"/>
    <col min="254" max="254" width="7.5703125" style="9" customWidth="1"/>
    <col min="255" max="255" width="7.140625" style="9" customWidth="1"/>
    <col min="256" max="272" width="8.7109375" style="9" customWidth="1"/>
    <col min="273" max="273" width="36.85546875" style="9" customWidth="1"/>
    <col min="274" max="280" width="14.28515625" style="9" customWidth="1"/>
    <col min="281" max="495" width="9.140625" style="9"/>
    <col min="496" max="496" width="38.5703125" style="9" customWidth="1"/>
    <col min="497" max="497" width="6.5703125" style="9" customWidth="1"/>
    <col min="498" max="498" width="7.7109375" style="9" bestFit="1" customWidth="1"/>
    <col min="499" max="499" width="7.28515625" style="9" customWidth="1"/>
    <col min="500" max="500" width="6.5703125" style="9" bestFit="1" customWidth="1"/>
    <col min="501" max="501" width="7.28515625" style="9" bestFit="1" customWidth="1"/>
    <col min="502" max="502" width="8.140625" style="9" customWidth="1"/>
    <col min="503" max="503" width="7.140625" style="9" customWidth="1"/>
    <col min="504" max="504" width="7.7109375" style="9" bestFit="1" customWidth="1"/>
    <col min="505" max="505" width="7.28515625" style="9" customWidth="1"/>
    <col min="506" max="506" width="7" style="9" customWidth="1"/>
    <col min="507" max="507" width="7.5703125" style="9" customWidth="1"/>
    <col min="508" max="508" width="7.140625" style="9" customWidth="1"/>
    <col min="509" max="509" width="7" style="9" customWidth="1"/>
    <col min="510" max="510" width="7.5703125" style="9" customWidth="1"/>
    <col min="511" max="511" width="7.140625" style="9" customWidth="1"/>
    <col min="512" max="528" width="8.7109375" style="9" customWidth="1"/>
    <col min="529" max="529" width="36.85546875" style="9" customWidth="1"/>
    <col min="530" max="536" width="14.28515625" style="9" customWidth="1"/>
    <col min="537" max="751" width="9.140625" style="9"/>
    <col min="752" max="752" width="38.5703125" style="9" customWidth="1"/>
    <col min="753" max="753" width="6.5703125" style="9" customWidth="1"/>
    <col min="754" max="754" width="7.7109375" style="9" bestFit="1" customWidth="1"/>
    <col min="755" max="755" width="7.28515625" style="9" customWidth="1"/>
    <col min="756" max="756" width="6.5703125" style="9" bestFit="1" customWidth="1"/>
    <col min="757" max="757" width="7.28515625" style="9" bestFit="1" customWidth="1"/>
    <col min="758" max="758" width="8.140625" style="9" customWidth="1"/>
    <col min="759" max="759" width="7.140625" style="9" customWidth="1"/>
    <col min="760" max="760" width="7.7109375" style="9" bestFit="1" customWidth="1"/>
    <col min="761" max="761" width="7.28515625" style="9" customWidth="1"/>
    <col min="762" max="762" width="7" style="9" customWidth="1"/>
    <col min="763" max="763" width="7.5703125" style="9" customWidth="1"/>
    <col min="764" max="764" width="7.140625" style="9" customWidth="1"/>
    <col min="765" max="765" width="7" style="9" customWidth="1"/>
    <col min="766" max="766" width="7.5703125" style="9" customWidth="1"/>
    <col min="767" max="767" width="7.140625" style="9" customWidth="1"/>
    <col min="768" max="784" width="8.7109375" style="9" customWidth="1"/>
    <col min="785" max="785" width="36.85546875" style="9" customWidth="1"/>
    <col min="786" max="792" width="14.28515625" style="9" customWidth="1"/>
    <col min="793" max="1007" width="9.140625" style="9"/>
    <col min="1008" max="1008" width="38.5703125" style="9" customWidth="1"/>
    <col min="1009" max="1009" width="6.5703125" style="9" customWidth="1"/>
    <col min="1010" max="1010" width="7.7109375" style="9" bestFit="1" customWidth="1"/>
    <col min="1011" max="1011" width="7.28515625" style="9" customWidth="1"/>
    <col min="1012" max="1012" width="6.5703125" style="9" bestFit="1" customWidth="1"/>
    <col min="1013" max="1013" width="7.28515625" style="9" bestFit="1" customWidth="1"/>
    <col min="1014" max="1014" width="8.140625" style="9" customWidth="1"/>
    <col min="1015" max="1015" width="7.140625" style="9" customWidth="1"/>
    <col min="1016" max="1016" width="7.7109375" style="9" bestFit="1" customWidth="1"/>
    <col min="1017" max="1017" width="7.28515625" style="9" customWidth="1"/>
    <col min="1018" max="1018" width="7" style="9" customWidth="1"/>
    <col min="1019" max="1019" width="7.5703125" style="9" customWidth="1"/>
    <col min="1020" max="1020" width="7.140625" style="9" customWidth="1"/>
    <col min="1021" max="1021" width="7" style="9" customWidth="1"/>
    <col min="1022" max="1022" width="7.5703125" style="9" customWidth="1"/>
    <col min="1023" max="1023" width="7.140625" style="9" customWidth="1"/>
    <col min="1024" max="1040" width="8.7109375" style="9" customWidth="1"/>
    <col min="1041" max="1041" width="36.85546875" style="9" customWidth="1"/>
    <col min="1042" max="1048" width="14.28515625" style="9" customWidth="1"/>
    <col min="1049" max="1263" width="9.140625" style="9"/>
    <col min="1264" max="1264" width="38.5703125" style="9" customWidth="1"/>
    <col min="1265" max="1265" width="6.5703125" style="9" customWidth="1"/>
    <col min="1266" max="1266" width="7.7109375" style="9" bestFit="1" customWidth="1"/>
    <col min="1267" max="1267" width="7.28515625" style="9" customWidth="1"/>
    <col min="1268" max="1268" width="6.5703125" style="9" bestFit="1" customWidth="1"/>
    <col min="1269" max="1269" width="7.28515625" style="9" bestFit="1" customWidth="1"/>
    <col min="1270" max="1270" width="8.140625" style="9" customWidth="1"/>
    <col min="1271" max="1271" width="7.140625" style="9" customWidth="1"/>
    <col min="1272" max="1272" width="7.7109375" style="9" bestFit="1" customWidth="1"/>
    <col min="1273" max="1273" width="7.28515625" style="9" customWidth="1"/>
    <col min="1274" max="1274" width="7" style="9" customWidth="1"/>
    <col min="1275" max="1275" width="7.5703125" style="9" customWidth="1"/>
    <col min="1276" max="1276" width="7.140625" style="9" customWidth="1"/>
    <col min="1277" max="1277" width="7" style="9" customWidth="1"/>
    <col min="1278" max="1278" width="7.5703125" style="9" customWidth="1"/>
    <col min="1279" max="1279" width="7.140625" style="9" customWidth="1"/>
    <col min="1280" max="1296" width="8.7109375" style="9" customWidth="1"/>
    <col min="1297" max="1297" width="36.85546875" style="9" customWidth="1"/>
    <col min="1298" max="1304" width="14.28515625" style="9" customWidth="1"/>
    <col min="1305" max="1519" width="9.140625" style="9"/>
    <col min="1520" max="1520" width="38.5703125" style="9" customWidth="1"/>
    <col min="1521" max="1521" width="6.5703125" style="9" customWidth="1"/>
    <col min="1522" max="1522" width="7.7109375" style="9" bestFit="1" customWidth="1"/>
    <col min="1523" max="1523" width="7.28515625" style="9" customWidth="1"/>
    <col min="1524" max="1524" width="6.5703125" style="9" bestFit="1" customWidth="1"/>
    <col min="1525" max="1525" width="7.28515625" style="9" bestFit="1" customWidth="1"/>
    <col min="1526" max="1526" width="8.140625" style="9" customWidth="1"/>
    <col min="1527" max="1527" width="7.140625" style="9" customWidth="1"/>
    <col min="1528" max="1528" width="7.7109375" style="9" bestFit="1" customWidth="1"/>
    <col min="1529" max="1529" width="7.28515625" style="9" customWidth="1"/>
    <col min="1530" max="1530" width="7" style="9" customWidth="1"/>
    <col min="1531" max="1531" width="7.5703125" style="9" customWidth="1"/>
    <col min="1532" max="1532" width="7.140625" style="9" customWidth="1"/>
    <col min="1533" max="1533" width="7" style="9" customWidth="1"/>
    <col min="1534" max="1534" width="7.5703125" style="9" customWidth="1"/>
    <col min="1535" max="1535" width="7.140625" style="9" customWidth="1"/>
    <col min="1536" max="1552" width="8.7109375" style="9" customWidth="1"/>
    <col min="1553" max="1553" width="36.85546875" style="9" customWidth="1"/>
    <col min="1554" max="1560" width="14.28515625" style="9" customWidth="1"/>
    <col min="1561" max="1775" width="9.140625" style="9"/>
    <col min="1776" max="1776" width="38.5703125" style="9" customWidth="1"/>
    <col min="1777" max="1777" width="6.5703125" style="9" customWidth="1"/>
    <col min="1778" max="1778" width="7.7109375" style="9" bestFit="1" customWidth="1"/>
    <col min="1779" max="1779" width="7.28515625" style="9" customWidth="1"/>
    <col min="1780" max="1780" width="6.5703125" style="9" bestFit="1" customWidth="1"/>
    <col min="1781" max="1781" width="7.28515625" style="9" bestFit="1" customWidth="1"/>
    <col min="1782" max="1782" width="8.140625" style="9" customWidth="1"/>
    <col min="1783" max="1783" width="7.140625" style="9" customWidth="1"/>
    <col min="1784" max="1784" width="7.7109375" style="9" bestFit="1" customWidth="1"/>
    <col min="1785" max="1785" width="7.28515625" style="9" customWidth="1"/>
    <col min="1786" max="1786" width="7" style="9" customWidth="1"/>
    <col min="1787" max="1787" width="7.5703125" style="9" customWidth="1"/>
    <col min="1788" max="1788" width="7.140625" style="9" customWidth="1"/>
    <col min="1789" max="1789" width="7" style="9" customWidth="1"/>
    <col min="1790" max="1790" width="7.5703125" style="9" customWidth="1"/>
    <col min="1791" max="1791" width="7.140625" style="9" customWidth="1"/>
    <col min="1792" max="1808" width="8.7109375" style="9" customWidth="1"/>
    <col min="1809" max="1809" width="36.85546875" style="9" customWidth="1"/>
    <col min="1810" max="1816" width="14.28515625" style="9" customWidth="1"/>
    <col min="1817" max="2031" width="9.140625" style="9"/>
    <col min="2032" max="2032" width="38.5703125" style="9" customWidth="1"/>
    <col min="2033" max="2033" width="6.5703125" style="9" customWidth="1"/>
    <col min="2034" max="2034" width="7.7109375" style="9" bestFit="1" customWidth="1"/>
    <col min="2035" max="2035" width="7.28515625" style="9" customWidth="1"/>
    <col min="2036" max="2036" width="6.5703125" style="9" bestFit="1" customWidth="1"/>
    <col min="2037" max="2037" width="7.28515625" style="9" bestFit="1" customWidth="1"/>
    <col min="2038" max="2038" width="8.140625" style="9" customWidth="1"/>
    <col min="2039" max="2039" width="7.140625" style="9" customWidth="1"/>
    <col min="2040" max="2040" width="7.7109375" style="9" bestFit="1" customWidth="1"/>
    <col min="2041" max="2041" width="7.28515625" style="9" customWidth="1"/>
    <col min="2042" max="2042" width="7" style="9" customWidth="1"/>
    <col min="2043" max="2043" width="7.5703125" style="9" customWidth="1"/>
    <col min="2044" max="2044" width="7.140625" style="9" customWidth="1"/>
    <col min="2045" max="2045" width="7" style="9" customWidth="1"/>
    <col min="2046" max="2046" width="7.5703125" style="9" customWidth="1"/>
    <col min="2047" max="2047" width="7.140625" style="9" customWidth="1"/>
    <col min="2048" max="2064" width="8.7109375" style="9" customWidth="1"/>
    <col min="2065" max="2065" width="36.85546875" style="9" customWidth="1"/>
    <col min="2066" max="2072" width="14.28515625" style="9" customWidth="1"/>
    <col min="2073" max="2287" width="9.140625" style="9"/>
    <col min="2288" max="2288" width="38.5703125" style="9" customWidth="1"/>
    <col min="2289" max="2289" width="6.5703125" style="9" customWidth="1"/>
    <col min="2290" max="2290" width="7.7109375" style="9" bestFit="1" customWidth="1"/>
    <col min="2291" max="2291" width="7.28515625" style="9" customWidth="1"/>
    <col min="2292" max="2292" width="6.5703125" style="9" bestFit="1" customWidth="1"/>
    <col min="2293" max="2293" width="7.28515625" style="9" bestFit="1" customWidth="1"/>
    <col min="2294" max="2294" width="8.140625" style="9" customWidth="1"/>
    <col min="2295" max="2295" width="7.140625" style="9" customWidth="1"/>
    <col min="2296" max="2296" width="7.7109375" style="9" bestFit="1" customWidth="1"/>
    <col min="2297" max="2297" width="7.28515625" style="9" customWidth="1"/>
    <col min="2298" max="2298" width="7" style="9" customWidth="1"/>
    <col min="2299" max="2299" width="7.5703125" style="9" customWidth="1"/>
    <col min="2300" max="2300" width="7.140625" style="9" customWidth="1"/>
    <col min="2301" max="2301" width="7" style="9" customWidth="1"/>
    <col min="2302" max="2302" width="7.5703125" style="9" customWidth="1"/>
    <col min="2303" max="2303" width="7.140625" style="9" customWidth="1"/>
    <col min="2304" max="2320" width="8.7109375" style="9" customWidth="1"/>
    <col min="2321" max="2321" width="36.85546875" style="9" customWidth="1"/>
    <col min="2322" max="2328" width="14.28515625" style="9" customWidth="1"/>
    <col min="2329" max="2543" width="9.140625" style="9"/>
    <col min="2544" max="2544" width="38.5703125" style="9" customWidth="1"/>
    <col min="2545" max="2545" width="6.5703125" style="9" customWidth="1"/>
    <col min="2546" max="2546" width="7.7109375" style="9" bestFit="1" customWidth="1"/>
    <col min="2547" max="2547" width="7.28515625" style="9" customWidth="1"/>
    <col min="2548" max="2548" width="6.5703125" style="9" bestFit="1" customWidth="1"/>
    <col min="2549" max="2549" width="7.28515625" style="9" bestFit="1" customWidth="1"/>
    <col min="2550" max="2550" width="8.140625" style="9" customWidth="1"/>
    <col min="2551" max="2551" width="7.140625" style="9" customWidth="1"/>
    <col min="2552" max="2552" width="7.7109375" style="9" bestFit="1" customWidth="1"/>
    <col min="2553" max="2553" width="7.28515625" style="9" customWidth="1"/>
    <col min="2554" max="2554" width="7" style="9" customWidth="1"/>
    <col min="2555" max="2555" width="7.5703125" style="9" customWidth="1"/>
    <col min="2556" max="2556" width="7.140625" style="9" customWidth="1"/>
    <col min="2557" max="2557" width="7" style="9" customWidth="1"/>
    <col min="2558" max="2558" width="7.5703125" style="9" customWidth="1"/>
    <col min="2559" max="2559" width="7.140625" style="9" customWidth="1"/>
    <col min="2560" max="2576" width="8.7109375" style="9" customWidth="1"/>
    <col min="2577" max="2577" width="36.85546875" style="9" customWidth="1"/>
    <col min="2578" max="2584" width="14.28515625" style="9" customWidth="1"/>
    <col min="2585" max="2799" width="9.140625" style="9"/>
    <col min="2800" max="2800" width="38.5703125" style="9" customWidth="1"/>
    <col min="2801" max="2801" width="6.5703125" style="9" customWidth="1"/>
    <col min="2802" max="2802" width="7.7109375" style="9" bestFit="1" customWidth="1"/>
    <col min="2803" max="2803" width="7.28515625" style="9" customWidth="1"/>
    <col min="2804" max="2804" width="6.5703125" style="9" bestFit="1" customWidth="1"/>
    <col min="2805" max="2805" width="7.28515625" style="9" bestFit="1" customWidth="1"/>
    <col min="2806" max="2806" width="8.140625" style="9" customWidth="1"/>
    <col min="2807" max="2807" width="7.140625" style="9" customWidth="1"/>
    <col min="2808" max="2808" width="7.7109375" style="9" bestFit="1" customWidth="1"/>
    <col min="2809" max="2809" width="7.28515625" style="9" customWidth="1"/>
    <col min="2810" max="2810" width="7" style="9" customWidth="1"/>
    <col min="2811" max="2811" width="7.5703125" style="9" customWidth="1"/>
    <col min="2812" max="2812" width="7.140625" style="9" customWidth="1"/>
    <col min="2813" max="2813" width="7" style="9" customWidth="1"/>
    <col min="2814" max="2814" width="7.5703125" style="9" customWidth="1"/>
    <col min="2815" max="2815" width="7.140625" style="9" customWidth="1"/>
    <col min="2816" max="2832" width="8.7109375" style="9" customWidth="1"/>
    <col min="2833" max="2833" width="36.85546875" style="9" customWidth="1"/>
    <col min="2834" max="2840" width="14.28515625" style="9" customWidth="1"/>
    <col min="2841" max="3055" width="9.140625" style="9"/>
    <col min="3056" max="3056" width="38.5703125" style="9" customWidth="1"/>
    <col min="3057" max="3057" width="6.5703125" style="9" customWidth="1"/>
    <col min="3058" max="3058" width="7.7109375" style="9" bestFit="1" customWidth="1"/>
    <col min="3059" max="3059" width="7.28515625" style="9" customWidth="1"/>
    <col min="3060" max="3060" width="6.5703125" style="9" bestFit="1" customWidth="1"/>
    <col min="3061" max="3061" width="7.28515625" style="9" bestFit="1" customWidth="1"/>
    <col min="3062" max="3062" width="8.140625" style="9" customWidth="1"/>
    <col min="3063" max="3063" width="7.140625" style="9" customWidth="1"/>
    <col min="3064" max="3064" width="7.7109375" style="9" bestFit="1" customWidth="1"/>
    <col min="3065" max="3065" width="7.28515625" style="9" customWidth="1"/>
    <col min="3066" max="3066" width="7" style="9" customWidth="1"/>
    <col min="3067" max="3067" width="7.5703125" style="9" customWidth="1"/>
    <col min="3068" max="3068" width="7.140625" style="9" customWidth="1"/>
    <col min="3069" max="3069" width="7" style="9" customWidth="1"/>
    <col min="3070" max="3070" width="7.5703125" style="9" customWidth="1"/>
    <col min="3071" max="3071" width="7.140625" style="9" customWidth="1"/>
    <col min="3072" max="3088" width="8.7109375" style="9" customWidth="1"/>
    <col min="3089" max="3089" width="36.85546875" style="9" customWidth="1"/>
    <col min="3090" max="3096" width="14.28515625" style="9" customWidth="1"/>
    <col min="3097" max="3311" width="9.140625" style="9"/>
    <col min="3312" max="3312" width="38.5703125" style="9" customWidth="1"/>
    <col min="3313" max="3313" width="6.5703125" style="9" customWidth="1"/>
    <col min="3314" max="3314" width="7.7109375" style="9" bestFit="1" customWidth="1"/>
    <col min="3315" max="3315" width="7.28515625" style="9" customWidth="1"/>
    <col min="3316" max="3316" width="6.5703125" style="9" bestFit="1" customWidth="1"/>
    <col min="3317" max="3317" width="7.28515625" style="9" bestFit="1" customWidth="1"/>
    <col min="3318" max="3318" width="8.140625" style="9" customWidth="1"/>
    <col min="3319" max="3319" width="7.140625" style="9" customWidth="1"/>
    <col min="3320" max="3320" width="7.7109375" style="9" bestFit="1" customWidth="1"/>
    <col min="3321" max="3321" width="7.28515625" style="9" customWidth="1"/>
    <col min="3322" max="3322" width="7" style="9" customWidth="1"/>
    <col min="3323" max="3323" width="7.5703125" style="9" customWidth="1"/>
    <col min="3324" max="3324" width="7.140625" style="9" customWidth="1"/>
    <col min="3325" max="3325" width="7" style="9" customWidth="1"/>
    <col min="3326" max="3326" width="7.5703125" style="9" customWidth="1"/>
    <col min="3327" max="3327" width="7.140625" style="9" customWidth="1"/>
    <col min="3328" max="3344" width="8.7109375" style="9" customWidth="1"/>
    <col min="3345" max="3345" width="36.85546875" style="9" customWidth="1"/>
    <col min="3346" max="3352" width="14.28515625" style="9" customWidth="1"/>
    <col min="3353" max="3567" width="9.140625" style="9"/>
    <col min="3568" max="3568" width="38.5703125" style="9" customWidth="1"/>
    <col min="3569" max="3569" width="6.5703125" style="9" customWidth="1"/>
    <col min="3570" max="3570" width="7.7109375" style="9" bestFit="1" customWidth="1"/>
    <col min="3571" max="3571" width="7.28515625" style="9" customWidth="1"/>
    <col min="3572" max="3572" width="6.5703125" style="9" bestFit="1" customWidth="1"/>
    <col min="3573" max="3573" width="7.28515625" style="9" bestFit="1" customWidth="1"/>
    <col min="3574" max="3574" width="8.140625" style="9" customWidth="1"/>
    <col min="3575" max="3575" width="7.140625" style="9" customWidth="1"/>
    <col min="3576" max="3576" width="7.7109375" style="9" bestFit="1" customWidth="1"/>
    <col min="3577" max="3577" width="7.28515625" style="9" customWidth="1"/>
    <col min="3578" max="3578" width="7" style="9" customWidth="1"/>
    <col min="3579" max="3579" width="7.5703125" style="9" customWidth="1"/>
    <col min="3580" max="3580" width="7.140625" style="9" customWidth="1"/>
    <col min="3581" max="3581" width="7" style="9" customWidth="1"/>
    <col min="3582" max="3582" width="7.5703125" style="9" customWidth="1"/>
    <col min="3583" max="3583" width="7.140625" style="9" customWidth="1"/>
    <col min="3584" max="3600" width="8.7109375" style="9" customWidth="1"/>
    <col min="3601" max="3601" width="36.85546875" style="9" customWidth="1"/>
    <col min="3602" max="3608" width="14.28515625" style="9" customWidth="1"/>
    <col min="3609" max="3823" width="9.140625" style="9"/>
    <col min="3824" max="3824" width="38.5703125" style="9" customWidth="1"/>
    <col min="3825" max="3825" width="6.5703125" style="9" customWidth="1"/>
    <col min="3826" max="3826" width="7.7109375" style="9" bestFit="1" customWidth="1"/>
    <col min="3827" max="3827" width="7.28515625" style="9" customWidth="1"/>
    <col min="3828" max="3828" width="6.5703125" style="9" bestFit="1" customWidth="1"/>
    <col min="3829" max="3829" width="7.28515625" style="9" bestFit="1" customWidth="1"/>
    <col min="3830" max="3830" width="8.140625" style="9" customWidth="1"/>
    <col min="3831" max="3831" width="7.140625" style="9" customWidth="1"/>
    <col min="3832" max="3832" width="7.7109375" style="9" bestFit="1" customWidth="1"/>
    <col min="3833" max="3833" width="7.28515625" style="9" customWidth="1"/>
    <col min="3834" max="3834" width="7" style="9" customWidth="1"/>
    <col min="3835" max="3835" width="7.5703125" style="9" customWidth="1"/>
    <col min="3836" max="3836" width="7.140625" style="9" customWidth="1"/>
    <col min="3837" max="3837" width="7" style="9" customWidth="1"/>
    <col min="3838" max="3838" width="7.5703125" style="9" customWidth="1"/>
    <col min="3839" max="3839" width="7.140625" style="9" customWidth="1"/>
    <col min="3840" max="3856" width="8.7109375" style="9" customWidth="1"/>
    <col min="3857" max="3857" width="36.85546875" style="9" customWidth="1"/>
    <col min="3858" max="3864" width="14.28515625" style="9" customWidth="1"/>
    <col min="3865" max="4079" width="9.140625" style="9"/>
    <col min="4080" max="4080" width="38.5703125" style="9" customWidth="1"/>
    <col min="4081" max="4081" width="6.5703125" style="9" customWidth="1"/>
    <col min="4082" max="4082" width="7.7109375" style="9" bestFit="1" customWidth="1"/>
    <col min="4083" max="4083" width="7.28515625" style="9" customWidth="1"/>
    <col min="4084" max="4084" width="6.5703125" style="9" bestFit="1" customWidth="1"/>
    <col min="4085" max="4085" width="7.28515625" style="9" bestFit="1" customWidth="1"/>
    <col min="4086" max="4086" width="8.140625" style="9" customWidth="1"/>
    <col min="4087" max="4087" width="7.140625" style="9" customWidth="1"/>
    <col min="4088" max="4088" width="7.7109375" style="9" bestFit="1" customWidth="1"/>
    <col min="4089" max="4089" width="7.28515625" style="9" customWidth="1"/>
    <col min="4090" max="4090" width="7" style="9" customWidth="1"/>
    <col min="4091" max="4091" width="7.5703125" style="9" customWidth="1"/>
    <col min="4092" max="4092" width="7.140625" style="9" customWidth="1"/>
    <col min="4093" max="4093" width="7" style="9" customWidth="1"/>
    <col min="4094" max="4094" width="7.5703125" style="9" customWidth="1"/>
    <col min="4095" max="4095" width="7.140625" style="9" customWidth="1"/>
    <col min="4096" max="4112" width="8.7109375" style="9" customWidth="1"/>
    <col min="4113" max="4113" width="36.85546875" style="9" customWidth="1"/>
    <col min="4114" max="4120" width="14.28515625" style="9" customWidth="1"/>
    <col min="4121" max="4335" width="9.140625" style="9"/>
    <col min="4336" max="4336" width="38.5703125" style="9" customWidth="1"/>
    <col min="4337" max="4337" width="6.5703125" style="9" customWidth="1"/>
    <col min="4338" max="4338" width="7.7109375" style="9" bestFit="1" customWidth="1"/>
    <col min="4339" max="4339" width="7.28515625" style="9" customWidth="1"/>
    <col min="4340" max="4340" width="6.5703125" style="9" bestFit="1" customWidth="1"/>
    <col min="4341" max="4341" width="7.28515625" style="9" bestFit="1" customWidth="1"/>
    <col min="4342" max="4342" width="8.140625" style="9" customWidth="1"/>
    <col min="4343" max="4343" width="7.140625" style="9" customWidth="1"/>
    <col min="4344" max="4344" width="7.7109375" style="9" bestFit="1" customWidth="1"/>
    <col min="4345" max="4345" width="7.28515625" style="9" customWidth="1"/>
    <col min="4346" max="4346" width="7" style="9" customWidth="1"/>
    <col min="4347" max="4347" width="7.5703125" style="9" customWidth="1"/>
    <col min="4348" max="4348" width="7.140625" style="9" customWidth="1"/>
    <col min="4349" max="4349" width="7" style="9" customWidth="1"/>
    <col min="4350" max="4350" width="7.5703125" style="9" customWidth="1"/>
    <col min="4351" max="4351" width="7.140625" style="9" customWidth="1"/>
    <col min="4352" max="4368" width="8.7109375" style="9" customWidth="1"/>
    <col min="4369" max="4369" width="36.85546875" style="9" customWidth="1"/>
    <col min="4370" max="4376" width="14.28515625" style="9" customWidth="1"/>
    <col min="4377" max="4591" width="9.140625" style="9"/>
    <col min="4592" max="4592" width="38.5703125" style="9" customWidth="1"/>
    <col min="4593" max="4593" width="6.5703125" style="9" customWidth="1"/>
    <col min="4594" max="4594" width="7.7109375" style="9" bestFit="1" customWidth="1"/>
    <col min="4595" max="4595" width="7.28515625" style="9" customWidth="1"/>
    <col min="4596" max="4596" width="6.5703125" style="9" bestFit="1" customWidth="1"/>
    <col min="4597" max="4597" width="7.28515625" style="9" bestFit="1" customWidth="1"/>
    <col min="4598" max="4598" width="8.140625" style="9" customWidth="1"/>
    <col min="4599" max="4599" width="7.140625" style="9" customWidth="1"/>
    <col min="4600" max="4600" width="7.7109375" style="9" bestFit="1" customWidth="1"/>
    <col min="4601" max="4601" width="7.28515625" style="9" customWidth="1"/>
    <col min="4602" max="4602" width="7" style="9" customWidth="1"/>
    <col min="4603" max="4603" width="7.5703125" style="9" customWidth="1"/>
    <col min="4604" max="4604" width="7.140625" style="9" customWidth="1"/>
    <col min="4605" max="4605" width="7" style="9" customWidth="1"/>
    <col min="4606" max="4606" width="7.5703125" style="9" customWidth="1"/>
    <col min="4607" max="4607" width="7.140625" style="9" customWidth="1"/>
    <col min="4608" max="4624" width="8.7109375" style="9" customWidth="1"/>
    <col min="4625" max="4625" width="36.85546875" style="9" customWidth="1"/>
    <col min="4626" max="4632" width="14.28515625" style="9" customWidth="1"/>
    <col min="4633" max="4847" width="9.140625" style="9"/>
    <col min="4848" max="4848" width="38.5703125" style="9" customWidth="1"/>
    <col min="4849" max="4849" width="6.5703125" style="9" customWidth="1"/>
    <col min="4850" max="4850" width="7.7109375" style="9" bestFit="1" customWidth="1"/>
    <col min="4851" max="4851" width="7.28515625" style="9" customWidth="1"/>
    <col min="4852" max="4852" width="6.5703125" style="9" bestFit="1" customWidth="1"/>
    <col min="4853" max="4853" width="7.28515625" style="9" bestFit="1" customWidth="1"/>
    <col min="4854" max="4854" width="8.140625" style="9" customWidth="1"/>
    <col min="4855" max="4855" width="7.140625" style="9" customWidth="1"/>
    <col min="4856" max="4856" width="7.7109375" style="9" bestFit="1" customWidth="1"/>
    <col min="4857" max="4857" width="7.28515625" style="9" customWidth="1"/>
    <col min="4858" max="4858" width="7" style="9" customWidth="1"/>
    <col min="4859" max="4859" width="7.5703125" style="9" customWidth="1"/>
    <col min="4860" max="4860" width="7.140625" style="9" customWidth="1"/>
    <col min="4861" max="4861" width="7" style="9" customWidth="1"/>
    <col min="4862" max="4862" width="7.5703125" style="9" customWidth="1"/>
    <col min="4863" max="4863" width="7.140625" style="9" customWidth="1"/>
    <col min="4864" max="4880" width="8.7109375" style="9" customWidth="1"/>
    <col min="4881" max="4881" width="36.85546875" style="9" customWidth="1"/>
    <col min="4882" max="4888" width="14.28515625" style="9" customWidth="1"/>
    <col min="4889" max="5103" width="9.140625" style="9"/>
    <col min="5104" max="5104" width="38.5703125" style="9" customWidth="1"/>
    <col min="5105" max="5105" width="6.5703125" style="9" customWidth="1"/>
    <col min="5106" max="5106" width="7.7109375" style="9" bestFit="1" customWidth="1"/>
    <col min="5107" max="5107" width="7.28515625" style="9" customWidth="1"/>
    <col min="5108" max="5108" width="6.5703125" style="9" bestFit="1" customWidth="1"/>
    <col min="5109" max="5109" width="7.28515625" style="9" bestFit="1" customWidth="1"/>
    <col min="5110" max="5110" width="8.140625" style="9" customWidth="1"/>
    <col min="5111" max="5111" width="7.140625" style="9" customWidth="1"/>
    <col min="5112" max="5112" width="7.7109375" style="9" bestFit="1" customWidth="1"/>
    <col min="5113" max="5113" width="7.28515625" style="9" customWidth="1"/>
    <col min="5114" max="5114" width="7" style="9" customWidth="1"/>
    <col min="5115" max="5115" width="7.5703125" style="9" customWidth="1"/>
    <col min="5116" max="5116" width="7.140625" style="9" customWidth="1"/>
    <col min="5117" max="5117" width="7" style="9" customWidth="1"/>
    <col min="5118" max="5118" width="7.5703125" style="9" customWidth="1"/>
    <col min="5119" max="5119" width="7.140625" style="9" customWidth="1"/>
    <col min="5120" max="5136" width="8.7109375" style="9" customWidth="1"/>
    <col min="5137" max="5137" width="36.85546875" style="9" customWidth="1"/>
    <col min="5138" max="5144" width="14.28515625" style="9" customWidth="1"/>
    <col min="5145" max="5359" width="9.140625" style="9"/>
    <col min="5360" max="5360" width="38.5703125" style="9" customWidth="1"/>
    <col min="5361" max="5361" width="6.5703125" style="9" customWidth="1"/>
    <col min="5362" max="5362" width="7.7109375" style="9" bestFit="1" customWidth="1"/>
    <col min="5363" max="5363" width="7.28515625" style="9" customWidth="1"/>
    <col min="5364" max="5364" width="6.5703125" style="9" bestFit="1" customWidth="1"/>
    <col min="5365" max="5365" width="7.28515625" style="9" bestFit="1" customWidth="1"/>
    <col min="5366" max="5366" width="8.140625" style="9" customWidth="1"/>
    <col min="5367" max="5367" width="7.140625" style="9" customWidth="1"/>
    <col min="5368" max="5368" width="7.7109375" style="9" bestFit="1" customWidth="1"/>
    <col min="5369" max="5369" width="7.28515625" style="9" customWidth="1"/>
    <col min="5370" max="5370" width="7" style="9" customWidth="1"/>
    <col min="5371" max="5371" width="7.5703125" style="9" customWidth="1"/>
    <col min="5372" max="5372" width="7.140625" style="9" customWidth="1"/>
    <col min="5373" max="5373" width="7" style="9" customWidth="1"/>
    <col min="5374" max="5374" width="7.5703125" style="9" customWidth="1"/>
    <col min="5375" max="5375" width="7.140625" style="9" customWidth="1"/>
    <col min="5376" max="5392" width="8.7109375" style="9" customWidth="1"/>
    <col min="5393" max="5393" width="36.85546875" style="9" customWidth="1"/>
    <col min="5394" max="5400" width="14.28515625" style="9" customWidth="1"/>
    <col min="5401" max="5615" width="9.140625" style="9"/>
    <col min="5616" max="5616" width="38.5703125" style="9" customWidth="1"/>
    <col min="5617" max="5617" width="6.5703125" style="9" customWidth="1"/>
    <col min="5618" max="5618" width="7.7109375" style="9" bestFit="1" customWidth="1"/>
    <col min="5619" max="5619" width="7.28515625" style="9" customWidth="1"/>
    <col min="5620" max="5620" width="6.5703125" style="9" bestFit="1" customWidth="1"/>
    <col min="5621" max="5621" width="7.28515625" style="9" bestFit="1" customWidth="1"/>
    <col min="5622" max="5622" width="8.140625" style="9" customWidth="1"/>
    <col min="5623" max="5623" width="7.140625" style="9" customWidth="1"/>
    <col min="5624" max="5624" width="7.7109375" style="9" bestFit="1" customWidth="1"/>
    <col min="5625" max="5625" width="7.28515625" style="9" customWidth="1"/>
    <col min="5626" max="5626" width="7" style="9" customWidth="1"/>
    <col min="5627" max="5627" width="7.5703125" style="9" customWidth="1"/>
    <col min="5628" max="5628" width="7.140625" style="9" customWidth="1"/>
    <col min="5629" max="5629" width="7" style="9" customWidth="1"/>
    <col min="5630" max="5630" width="7.5703125" style="9" customWidth="1"/>
    <col min="5631" max="5631" width="7.140625" style="9" customWidth="1"/>
    <col min="5632" max="5648" width="8.7109375" style="9" customWidth="1"/>
    <col min="5649" max="5649" width="36.85546875" style="9" customWidth="1"/>
    <col min="5650" max="5656" width="14.28515625" style="9" customWidth="1"/>
    <col min="5657" max="5871" width="9.140625" style="9"/>
    <col min="5872" max="5872" width="38.5703125" style="9" customWidth="1"/>
    <col min="5873" max="5873" width="6.5703125" style="9" customWidth="1"/>
    <col min="5874" max="5874" width="7.7109375" style="9" bestFit="1" customWidth="1"/>
    <col min="5875" max="5875" width="7.28515625" style="9" customWidth="1"/>
    <col min="5876" max="5876" width="6.5703125" style="9" bestFit="1" customWidth="1"/>
    <col min="5877" max="5877" width="7.28515625" style="9" bestFit="1" customWidth="1"/>
    <col min="5878" max="5878" width="8.140625" style="9" customWidth="1"/>
    <col min="5879" max="5879" width="7.140625" style="9" customWidth="1"/>
    <col min="5880" max="5880" width="7.7109375" style="9" bestFit="1" customWidth="1"/>
    <col min="5881" max="5881" width="7.28515625" style="9" customWidth="1"/>
    <col min="5882" max="5882" width="7" style="9" customWidth="1"/>
    <col min="5883" max="5883" width="7.5703125" style="9" customWidth="1"/>
    <col min="5884" max="5884" width="7.140625" style="9" customWidth="1"/>
    <col min="5885" max="5885" width="7" style="9" customWidth="1"/>
    <col min="5886" max="5886" width="7.5703125" style="9" customWidth="1"/>
    <col min="5887" max="5887" width="7.140625" style="9" customWidth="1"/>
    <col min="5888" max="5904" width="8.7109375" style="9" customWidth="1"/>
    <col min="5905" max="5905" width="36.85546875" style="9" customWidth="1"/>
    <col min="5906" max="5912" width="14.28515625" style="9" customWidth="1"/>
    <col min="5913" max="6127" width="9.140625" style="9"/>
    <col min="6128" max="6128" width="38.5703125" style="9" customWidth="1"/>
    <col min="6129" max="6129" width="6.5703125" style="9" customWidth="1"/>
    <col min="6130" max="6130" width="7.7109375" style="9" bestFit="1" customWidth="1"/>
    <col min="6131" max="6131" width="7.28515625" style="9" customWidth="1"/>
    <col min="6132" max="6132" width="6.5703125" style="9" bestFit="1" customWidth="1"/>
    <col min="6133" max="6133" width="7.28515625" style="9" bestFit="1" customWidth="1"/>
    <col min="6134" max="6134" width="8.140625" style="9" customWidth="1"/>
    <col min="6135" max="6135" width="7.140625" style="9" customWidth="1"/>
    <col min="6136" max="6136" width="7.7109375" style="9" bestFit="1" customWidth="1"/>
    <col min="6137" max="6137" width="7.28515625" style="9" customWidth="1"/>
    <col min="6138" max="6138" width="7" style="9" customWidth="1"/>
    <col min="6139" max="6139" width="7.5703125" style="9" customWidth="1"/>
    <col min="6140" max="6140" width="7.140625" style="9" customWidth="1"/>
    <col min="6141" max="6141" width="7" style="9" customWidth="1"/>
    <col min="6142" max="6142" width="7.5703125" style="9" customWidth="1"/>
    <col min="6143" max="6143" width="7.140625" style="9" customWidth="1"/>
    <col min="6144" max="6160" width="8.7109375" style="9" customWidth="1"/>
    <col min="6161" max="6161" width="36.85546875" style="9" customWidth="1"/>
    <col min="6162" max="6168" width="14.28515625" style="9" customWidth="1"/>
    <col min="6169" max="6383" width="9.140625" style="9"/>
    <col min="6384" max="6384" width="38.5703125" style="9" customWidth="1"/>
    <col min="6385" max="6385" width="6.5703125" style="9" customWidth="1"/>
    <col min="6386" max="6386" width="7.7109375" style="9" bestFit="1" customWidth="1"/>
    <col min="6387" max="6387" width="7.28515625" style="9" customWidth="1"/>
    <col min="6388" max="6388" width="6.5703125" style="9" bestFit="1" customWidth="1"/>
    <col min="6389" max="6389" width="7.28515625" style="9" bestFit="1" customWidth="1"/>
    <col min="6390" max="6390" width="8.140625" style="9" customWidth="1"/>
    <col min="6391" max="6391" width="7.140625" style="9" customWidth="1"/>
    <col min="6392" max="6392" width="7.7109375" style="9" bestFit="1" customWidth="1"/>
    <col min="6393" max="6393" width="7.28515625" style="9" customWidth="1"/>
    <col min="6394" max="6394" width="7" style="9" customWidth="1"/>
    <col min="6395" max="6395" width="7.5703125" style="9" customWidth="1"/>
    <col min="6396" max="6396" width="7.140625" style="9" customWidth="1"/>
    <col min="6397" max="6397" width="7" style="9" customWidth="1"/>
    <col min="6398" max="6398" width="7.5703125" style="9" customWidth="1"/>
    <col min="6399" max="6399" width="7.140625" style="9" customWidth="1"/>
    <col min="6400" max="6416" width="8.7109375" style="9" customWidth="1"/>
    <col min="6417" max="6417" width="36.85546875" style="9" customWidth="1"/>
    <col min="6418" max="6424" width="14.28515625" style="9" customWidth="1"/>
    <col min="6425" max="6639" width="9.140625" style="9"/>
    <col min="6640" max="6640" width="38.5703125" style="9" customWidth="1"/>
    <col min="6641" max="6641" width="6.5703125" style="9" customWidth="1"/>
    <col min="6642" max="6642" width="7.7109375" style="9" bestFit="1" customWidth="1"/>
    <col min="6643" max="6643" width="7.28515625" style="9" customWidth="1"/>
    <col min="6644" max="6644" width="6.5703125" style="9" bestFit="1" customWidth="1"/>
    <col min="6645" max="6645" width="7.28515625" style="9" bestFit="1" customWidth="1"/>
    <col min="6646" max="6646" width="8.140625" style="9" customWidth="1"/>
    <col min="6647" max="6647" width="7.140625" style="9" customWidth="1"/>
    <col min="6648" max="6648" width="7.7109375" style="9" bestFit="1" customWidth="1"/>
    <col min="6649" max="6649" width="7.28515625" style="9" customWidth="1"/>
    <col min="6650" max="6650" width="7" style="9" customWidth="1"/>
    <col min="6651" max="6651" width="7.5703125" style="9" customWidth="1"/>
    <col min="6652" max="6652" width="7.140625" style="9" customWidth="1"/>
    <col min="6653" max="6653" width="7" style="9" customWidth="1"/>
    <col min="6654" max="6654" width="7.5703125" style="9" customWidth="1"/>
    <col min="6655" max="6655" width="7.140625" style="9" customWidth="1"/>
    <col min="6656" max="6672" width="8.7109375" style="9" customWidth="1"/>
    <col min="6673" max="6673" width="36.85546875" style="9" customWidth="1"/>
    <col min="6674" max="6680" width="14.28515625" style="9" customWidth="1"/>
    <col min="6681" max="6895" width="9.140625" style="9"/>
    <col min="6896" max="6896" width="38.5703125" style="9" customWidth="1"/>
    <col min="6897" max="6897" width="6.5703125" style="9" customWidth="1"/>
    <col min="6898" max="6898" width="7.7109375" style="9" bestFit="1" customWidth="1"/>
    <col min="6899" max="6899" width="7.28515625" style="9" customWidth="1"/>
    <col min="6900" max="6900" width="6.5703125" style="9" bestFit="1" customWidth="1"/>
    <col min="6901" max="6901" width="7.28515625" style="9" bestFit="1" customWidth="1"/>
    <col min="6902" max="6902" width="8.140625" style="9" customWidth="1"/>
    <col min="6903" max="6903" width="7.140625" style="9" customWidth="1"/>
    <col min="6904" max="6904" width="7.7109375" style="9" bestFit="1" customWidth="1"/>
    <col min="6905" max="6905" width="7.28515625" style="9" customWidth="1"/>
    <col min="6906" max="6906" width="7" style="9" customWidth="1"/>
    <col min="6907" max="6907" width="7.5703125" style="9" customWidth="1"/>
    <col min="6908" max="6908" width="7.140625" style="9" customWidth="1"/>
    <col min="6909" max="6909" width="7" style="9" customWidth="1"/>
    <col min="6910" max="6910" width="7.5703125" style="9" customWidth="1"/>
    <col min="6911" max="6911" width="7.140625" style="9" customWidth="1"/>
    <col min="6912" max="6928" width="8.7109375" style="9" customWidth="1"/>
    <col min="6929" max="6929" width="36.85546875" style="9" customWidth="1"/>
    <col min="6930" max="6936" width="14.28515625" style="9" customWidth="1"/>
    <col min="6937" max="7151" width="9.140625" style="9"/>
    <col min="7152" max="7152" width="38.5703125" style="9" customWidth="1"/>
    <col min="7153" max="7153" width="6.5703125" style="9" customWidth="1"/>
    <col min="7154" max="7154" width="7.7109375" style="9" bestFit="1" customWidth="1"/>
    <col min="7155" max="7155" width="7.28515625" style="9" customWidth="1"/>
    <col min="7156" max="7156" width="6.5703125" style="9" bestFit="1" customWidth="1"/>
    <col min="7157" max="7157" width="7.28515625" style="9" bestFit="1" customWidth="1"/>
    <col min="7158" max="7158" width="8.140625" style="9" customWidth="1"/>
    <col min="7159" max="7159" width="7.140625" style="9" customWidth="1"/>
    <col min="7160" max="7160" width="7.7109375" style="9" bestFit="1" customWidth="1"/>
    <col min="7161" max="7161" width="7.28515625" style="9" customWidth="1"/>
    <col min="7162" max="7162" width="7" style="9" customWidth="1"/>
    <col min="7163" max="7163" width="7.5703125" style="9" customWidth="1"/>
    <col min="7164" max="7164" width="7.140625" style="9" customWidth="1"/>
    <col min="7165" max="7165" width="7" style="9" customWidth="1"/>
    <col min="7166" max="7166" width="7.5703125" style="9" customWidth="1"/>
    <col min="7167" max="7167" width="7.140625" style="9" customWidth="1"/>
    <col min="7168" max="7184" width="8.7109375" style="9" customWidth="1"/>
    <col min="7185" max="7185" width="36.85546875" style="9" customWidth="1"/>
    <col min="7186" max="7192" width="14.28515625" style="9" customWidth="1"/>
    <col min="7193" max="7407" width="9.140625" style="9"/>
    <col min="7408" max="7408" width="38.5703125" style="9" customWidth="1"/>
    <col min="7409" max="7409" width="6.5703125" style="9" customWidth="1"/>
    <col min="7410" max="7410" width="7.7109375" style="9" bestFit="1" customWidth="1"/>
    <col min="7411" max="7411" width="7.28515625" style="9" customWidth="1"/>
    <col min="7412" max="7412" width="6.5703125" style="9" bestFit="1" customWidth="1"/>
    <col min="7413" max="7413" width="7.28515625" style="9" bestFit="1" customWidth="1"/>
    <col min="7414" max="7414" width="8.140625" style="9" customWidth="1"/>
    <col min="7415" max="7415" width="7.140625" style="9" customWidth="1"/>
    <col min="7416" max="7416" width="7.7109375" style="9" bestFit="1" customWidth="1"/>
    <col min="7417" max="7417" width="7.28515625" style="9" customWidth="1"/>
    <col min="7418" max="7418" width="7" style="9" customWidth="1"/>
    <col min="7419" max="7419" width="7.5703125" style="9" customWidth="1"/>
    <col min="7420" max="7420" width="7.140625" style="9" customWidth="1"/>
    <col min="7421" max="7421" width="7" style="9" customWidth="1"/>
    <col min="7422" max="7422" width="7.5703125" style="9" customWidth="1"/>
    <col min="7423" max="7423" width="7.140625" style="9" customWidth="1"/>
    <col min="7424" max="7440" width="8.7109375" style="9" customWidth="1"/>
    <col min="7441" max="7441" width="36.85546875" style="9" customWidth="1"/>
    <col min="7442" max="7448" width="14.28515625" style="9" customWidth="1"/>
    <col min="7449" max="7663" width="9.140625" style="9"/>
    <col min="7664" max="7664" width="38.5703125" style="9" customWidth="1"/>
    <col min="7665" max="7665" width="6.5703125" style="9" customWidth="1"/>
    <col min="7666" max="7666" width="7.7109375" style="9" bestFit="1" customWidth="1"/>
    <col min="7667" max="7667" width="7.28515625" style="9" customWidth="1"/>
    <col min="7668" max="7668" width="6.5703125" style="9" bestFit="1" customWidth="1"/>
    <col min="7669" max="7669" width="7.28515625" style="9" bestFit="1" customWidth="1"/>
    <col min="7670" max="7670" width="8.140625" style="9" customWidth="1"/>
    <col min="7671" max="7671" width="7.140625" style="9" customWidth="1"/>
    <col min="7672" max="7672" width="7.7109375" style="9" bestFit="1" customWidth="1"/>
    <col min="7673" max="7673" width="7.28515625" style="9" customWidth="1"/>
    <col min="7674" max="7674" width="7" style="9" customWidth="1"/>
    <col min="7675" max="7675" width="7.5703125" style="9" customWidth="1"/>
    <col min="7676" max="7676" width="7.140625" style="9" customWidth="1"/>
    <col min="7677" max="7677" width="7" style="9" customWidth="1"/>
    <col min="7678" max="7678" width="7.5703125" style="9" customWidth="1"/>
    <col min="7679" max="7679" width="7.140625" style="9" customWidth="1"/>
    <col min="7680" max="7696" width="8.7109375" style="9" customWidth="1"/>
    <col min="7697" max="7697" width="36.85546875" style="9" customWidth="1"/>
    <col min="7698" max="7704" width="14.28515625" style="9" customWidth="1"/>
    <col min="7705" max="7919" width="9.140625" style="9"/>
    <col min="7920" max="7920" width="38.5703125" style="9" customWidth="1"/>
    <col min="7921" max="7921" width="6.5703125" style="9" customWidth="1"/>
    <col min="7922" max="7922" width="7.7109375" style="9" bestFit="1" customWidth="1"/>
    <col min="7923" max="7923" width="7.28515625" style="9" customWidth="1"/>
    <col min="7924" max="7924" width="6.5703125" style="9" bestFit="1" customWidth="1"/>
    <col min="7925" max="7925" width="7.28515625" style="9" bestFit="1" customWidth="1"/>
    <col min="7926" max="7926" width="8.140625" style="9" customWidth="1"/>
    <col min="7927" max="7927" width="7.140625" style="9" customWidth="1"/>
    <col min="7928" max="7928" width="7.7109375" style="9" bestFit="1" customWidth="1"/>
    <col min="7929" max="7929" width="7.28515625" style="9" customWidth="1"/>
    <col min="7930" max="7930" width="7" style="9" customWidth="1"/>
    <col min="7931" max="7931" width="7.5703125" style="9" customWidth="1"/>
    <col min="7932" max="7932" width="7.140625" style="9" customWidth="1"/>
    <col min="7933" max="7933" width="7" style="9" customWidth="1"/>
    <col min="7934" max="7934" width="7.5703125" style="9" customWidth="1"/>
    <col min="7935" max="7935" width="7.140625" style="9" customWidth="1"/>
    <col min="7936" max="7952" width="8.7109375" style="9" customWidth="1"/>
    <col min="7953" max="7953" width="36.85546875" style="9" customWidth="1"/>
    <col min="7954" max="7960" width="14.28515625" style="9" customWidth="1"/>
    <col min="7961" max="8175" width="9.140625" style="9"/>
    <col min="8176" max="8176" width="38.5703125" style="9" customWidth="1"/>
    <col min="8177" max="8177" width="6.5703125" style="9" customWidth="1"/>
    <col min="8178" max="8178" width="7.7109375" style="9" bestFit="1" customWidth="1"/>
    <col min="8179" max="8179" width="7.28515625" style="9" customWidth="1"/>
    <col min="8180" max="8180" width="6.5703125" style="9" bestFit="1" customWidth="1"/>
    <col min="8181" max="8181" width="7.28515625" style="9" bestFit="1" customWidth="1"/>
    <col min="8182" max="8182" width="8.140625" style="9" customWidth="1"/>
    <col min="8183" max="8183" width="7.140625" style="9" customWidth="1"/>
    <col min="8184" max="8184" width="7.7109375" style="9" bestFit="1" customWidth="1"/>
    <col min="8185" max="8185" width="7.28515625" style="9" customWidth="1"/>
    <col min="8186" max="8186" width="7" style="9" customWidth="1"/>
    <col min="8187" max="8187" width="7.5703125" style="9" customWidth="1"/>
    <col min="8188" max="8188" width="7.140625" style="9" customWidth="1"/>
    <col min="8189" max="8189" width="7" style="9" customWidth="1"/>
    <col min="8190" max="8190" width="7.5703125" style="9" customWidth="1"/>
    <col min="8191" max="8191" width="7.140625" style="9" customWidth="1"/>
    <col min="8192" max="8208" width="8.7109375" style="9" customWidth="1"/>
    <col min="8209" max="8209" width="36.85546875" style="9" customWidth="1"/>
    <col min="8210" max="8216" width="14.28515625" style="9" customWidth="1"/>
    <col min="8217" max="8431" width="9.140625" style="9"/>
    <col min="8432" max="8432" width="38.5703125" style="9" customWidth="1"/>
    <col min="8433" max="8433" width="6.5703125" style="9" customWidth="1"/>
    <col min="8434" max="8434" width="7.7109375" style="9" bestFit="1" customWidth="1"/>
    <col min="8435" max="8435" width="7.28515625" style="9" customWidth="1"/>
    <col min="8436" max="8436" width="6.5703125" style="9" bestFit="1" customWidth="1"/>
    <col min="8437" max="8437" width="7.28515625" style="9" bestFit="1" customWidth="1"/>
    <col min="8438" max="8438" width="8.140625" style="9" customWidth="1"/>
    <col min="8439" max="8439" width="7.140625" style="9" customWidth="1"/>
    <col min="8440" max="8440" width="7.7109375" style="9" bestFit="1" customWidth="1"/>
    <col min="8441" max="8441" width="7.28515625" style="9" customWidth="1"/>
    <col min="8442" max="8442" width="7" style="9" customWidth="1"/>
    <col min="8443" max="8443" width="7.5703125" style="9" customWidth="1"/>
    <col min="8444" max="8444" width="7.140625" style="9" customWidth="1"/>
    <col min="8445" max="8445" width="7" style="9" customWidth="1"/>
    <col min="8446" max="8446" width="7.5703125" style="9" customWidth="1"/>
    <col min="8447" max="8447" width="7.140625" style="9" customWidth="1"/>
    <col min="8448" max="8464" width="8.7109375" style="9" customWidth="1"/>
    <col min="8465" max="8465" width="36.85546875" style="9" customWidth="1"/>
    <col min="8466" max="8472" width="14.28515625" style="9" customWidth="1"/>
    <col min="8473" max="8687" width="9.140625" style="9"/>
    <col min="8688" max="8688" width="38.5703125" style="9" customWidth="1"/>
    <col min="8689" max="8689" width="6.5703125" style="9" customWidth="1"/>
    <col min="8690" max="8690" width="7.7109375" style="9" bestFit="1" customWidth="1"/>
    <col min="8691" max="8691" width="7.28515625" style="9" customWidth="1"/>
    <col min="8692" max="8692" width="6.5703125" style="9" bestFit="1" customWidth="1"/>
    <col min="8693" max="8693" width="7.28515625" style="9" bestFit="1" customWidth="1"/>
    <col min="8694" max="8694" width="8.140625" style="9" customWidth="1"/>
    <col min="8695" max="8695" width="7.140625" style="9" customWidth="1"/>
    <col min="8696" max="8696" width="7.7109375" style="9" bestFit="1" customWidth="1"/>
    <col min="8697" max="8697" width="7.28515625" style="9" customWidth="1"/>
    <col min="8698" max="8698" width="7" style="9" customWidth="1"/>
    <col min="8699" max="8699" width="7.5703125" style="9" customWidth="1"/>
    <col min="8700" max="8700" width="7.140625" style="9" customWidth="1"/>
    <col min="8701" max="8701" width="7" style="9" customWidth="1"/>
    <col min="8702" max="8702" width="7.5703125" style="9" customWidth="1"/>
    <col min="8703" max="8703" width="7.140625" style="9" customWidth="1"/>
    <col min="8704" max="8720" width="8.7109375" style="9" customWidth="1"/>
    <col min="8721" max="8721" width="36.85546875" style="9" customWidth="1"/>
    <col min="8722" max="8728" width="14.28515625" style="9" customWidth="1"/>
    <col min="8729" max="8943" width="9.140625" style="9"/>
    <col min="8944" max="8944" width="38.5703125" style="9" customWidth="1"/>
    <col min="8945" max="8945" width="6.5703125" style="9" customWidth="1"/>
    <col min="8946" max="8946" width="7.7109375" style="9" bestFit="1" customWidth="1"/>
    <col min="8947" max="8947" width="7.28515625" style="9" customWidth="1"/>
    <col min="8948" max="8948" width="6.5703125" style="9" bestFit="1" customWidth="1"/>
    <col min="8949" max="8949" width="7.28515625" style="9" bestFit="1" customWidth="1"/>
    <col min="8950" max="8950" width="8.140625" style="9" customWidth="1"/>
    <col min="8951" max="8951" width="7.140625" style="9" customWidth="1"/>
    <col min="8952" max="8952" width="7.7109375" style="9" bestFit="1" customWidth="1"/>
    <col min="8953" max="8953" width="7.28515625" style="9" customWidth="1"/>
    <col min="8954" max="8954" width="7" style="9" customWidth="1"/>
    <col min="8955" max="8955" width="7.5703125" style="9" customWidth="1"/>
    <col min="8956" max="8956" width="7.140625" style="9" customWidth="1"/>
    <col min="8957" max="8957" width="7" style="9" customWidth="1"/>
    <col min="8958" max="8958" width="7.5703125" style="9" customWidth="1"/>
    <col min="8959" max="8959" width="7.140625" style="9" customWidth="1"/>
    <col min="8960" max="8976" width="8.7109375" style="9" customWidth="1"/>
    <col min="8977" max="8977" width="36.85546875" style="9" customWidth="1"/>
    <col min="8978" max="8984" width="14.28515625" style="9" customWidth="1"/>
    <col min="8985" max="9199" width="9.140625" style="9"/>
    <col min="9200" max="9200" width="38.5703125" style="9" customWidth="1"/>
    <col min="9201" max="9201" width="6.5703125" style="9" customWidth="1"/>
    <col min="9202" max="9202" width="7.7109375" style="9" bestFit="1" customWidth="1"/>
    <col min="9203" max="9203" width="7.28515625" style="9" customWidth="1"/>
    <col min="9204" max="9204" width="6.5703125" style="9" bestFit="1" customWidth="1"/>
    <col min="9205" max="9205" width="7.28515625" style="9" bestFit="1" customWidth="1"/>
    <col min="9206" max="9206" width="8.140625" style="9" customWidth="1"/>
    <col min="9207" max="9207" width="7.140625" style="9" customWidth="1"/>
    <col min="9208" max="9208" width="7.7109375" style="9" bestFit="1" customWidth="1"/>
    <col min="9209" max="9209" width="7.28515625" style="9" customWidth="1"/>
    <col min="9210" max="9210" width="7" style="9" customWidth="1"/>
    <col min="9211" max="9211" width="7.5703125" style="9" customWidth="1"/>
    <col min="9212" max="9212" width="7.140625" style="9" customWidth="1"/>
    <col min="9213" max="9213" width="7" style="9" customWidth="1"/>
    <col min="9214" max="9214" width="7.5703125" style="9" customWidth="1"/>
    <col min="9215" max="9215" width="7.140625" style="9" customWidth="1"/>
    <col min="9216" max="9232" width="8.7109375" style="9" customWidth="1"/>
    <col min="9233" max="9233" width="36.85546875" style="9" customWidth="1"/>
    <col min="9234" max="9240" width="14.28515625" style="9" customWidth="1"/>
    <col min="9241" max="9455" width="9.140625" style="9"/>
    <col min="9456" max="9456" width="38.5703125" style="9" customWidth="1"/>
    <col min="9457" max="9457" width="6.5703125" style="9" customWidth="1"/>
    <col min="9458" max="9458" width="7.7109375" style="9" bestFit="1" customWidth="1"/>
    <col min="9459" max="9459" width="7.28515625" style="9" customWidth="1"/>
    <col min="9460" max="9460" width="6.5703125" style="9" bestFit="1" customWidth="1"/>
    <col min="9461" max="9461" width="7.28515625" style="9" bestFit="1" customWidth="1"/>
    <col min="9462" max="9462" width="8.140625" style="9" customWidth="1"/>
    <col min="9463" max="9463" width="7.140625" style="9" customWidth="1"/>
    <col min="9464" max="9464" width="7.7109375" style="9" bestFit="1" customWidth="1"/>
    <col min="9465" max="9465" width="7.28515625" style="9" customWidth="1"/>
    <col min="9466" max="9466" width="7" style="9" customWidth="1"/>
    <col min="9467" max="9467" width="7.5703125" style="9" customWidth="1"/>
    <col min="9468" max="9468" width="7.140625" style="9" customWidth="1"/>
    <col min="9469" max="9469" width="7" style="9" customWidth="1"/>
    <col min="9470" max="9470" width="7.5703125" style="9" customWidth="1"/>
    <col min="9471" max="9471" width="7.140625" style="9" customWidth="1"/>
    <col min="9472" max="9488" width="8.7109375" style="9" customWidth="1"/>
    <col min="9489" max="9489" width="36.85546875" style="9" customWidth="1"/>
    <col min="9490" max="9496" width="14.28515625" style="9" customWidth="1"/>
    <col min="9497" max="9711" width="9.140625" style="9"/>
    <col min="9712" max="9712" width="38.5703125" style="9" customWidth="1"/>
    <col min="9713" max="9713" width="6.5703125" style="9" customWidth="1"/>
    <col min="9714" max="9714" width="7.7109375" style="9" bestFit="1" customWidth="1"/>
    <col min="9715" max="9715" width="7.28515625" style="9" customWidth="1"/>
    <col min="9716" max="9716" width="6.5703125" style="9" bestFit="1" customWidth="1"/>
    <col min="9717" max="9717" width="7.28515625" style="9" bestFit="1" customWidth="1"/>
    <col min="9718" max="9718" width="8.140625" style="9" customWidth="1"/>
    <col min="9719" max="9719" width="7.140625" style="9" customWidth="1"/>
    <col min="9720" max="9720" width="7.7109375" style="9" bestFit="1" customWidth="1"/>
    <col min="9721" max="9721" width="7.28515625" style="9" customWidth="1"/>
    <col min="9722" max="9722" width="7" style="9" customWidth="1"/>
    <col min="9723" max="9723" width="7.5703125" style="9" customWidth="1"/>
    <col min="9724" max="9724" width="7.140625" style="9" customWidth="1"/>
    <col min="9725" max="9725" width="7" style="9" customWidth="1"/>
    <col min="9726" max="9726" width="7.5703125" style="9" customWidth="1"/>
    <col min="9727" max="9727" width="7.140625" style="9" customWidth="1"/>
    <col min="9728" max="9744" width="8.7109375" style="9" customWidth="1"/>
    <col min="9745" max="9745" width="36.85546875" style="9" customWidth="1"/>
    <col min="9746" max="9752" width="14.28515625" style="9" customWidth="1"/>
    <col min="9753" max="9967" width="9.140625" style="9"/>
    <col min="9968" max="9968" width="38.5703125" style="9" customWidth="1"/>
    <col min="9969" max="9969" width="6.5703125" style="9" customWidth="1"/>
    <col min="9970" max="9970" width="7.7109375" style="9" bestFit="1" customWidth="1"/>
    <col min="9971" max="9971" width="7.28515625" style="9" customWidth="1"/>
    <col min="9972" max="9972" width="6.5703125" style="9" bestFit="1" customWidth="1"/>
    <col min="9973" max="9973" width="7.28515625" style="9" bestFit="1" customWidth="1"/>
    <col min="9974" max="9974" width="8.140625" style="9" customWidth="1"/>
    <col min="9975" max="9975" width="7.140625" style="9" customWidth="1"/>
    <col min="9976" max="9976" width="7.7109375" style="9" bestFit="1" customWidth="1"/>
    <col min="9977" max="9977" width="7.28515625" style="9" customWidth="1"/>
    <col min="9978" max="9978" width="7" style="9" customWidth="1"/>
    <col min="9979" max="9979" width="7.5703125" style="9" customWidth="1"/>
    <col min="9980" max="9980" width="7.140625" style="9" customWidth="1"/>
    <col min="9981" max="9981" width="7" style="9" customWidth="1"/>
    <col min="9982" max="9982" width="7.5703125" style="9" customWidth="1"/>
    <col min="9983" max="9983" width="7.140625" style="9" customWidth="1"/>
    <col min="9984" max="10000" width="8.7109375" style="9" customWidth="1"/>
    <col min="10001" max="10001" width="36.85546875" style="9" customWidth="1"/>
    <col min="10002" max="10008" width="14.28515625" style="9" customWidth="1"/>
    <col min="10009" max="10223" width="9.140625" style="9"/>
    <col min="10224" max="10224" width="38.5703125" style="9" customWidth="1"/>
    <col min="10225" max="10225" width="6.5703125" style="9" customWidth="1"/>
    <col min="10226" max="10226" width="7.7109375" style="9" bestFit="1" customWidth="1"/>
    <col min="10227" max="10227" width="7.28515625" style="9" customWidth="1"/>
    <col min="10228" max="10228" width="6.5703125" style="9" bestFit="1" customWidth="1"/>
    <col min="10229" max="10229" width="7.28515625" style="9" bestFit="1" customWidth="1"/>
    <col min="10230" max="10230" width="8.140625" style="9" customWidth="1"/>
    <col min="10231" max="10231" width="7.140625" style="9" customWidth="1"/>
    <col min="10232" max="10232" width="7.7109375" style="9" bestFit="1" customWidth="1"/>
    <col min="10233" max="10233" width="7.28515625" style="9" customWidth="1"/>
    <col min="10234" max="10234" width="7" style="9" customWidth="1"/>
    <col min="10235" max="10235" width="7.5703125" style="9" customWidth="1"/>
    <col min="10236" max="10236" width="7.140625" style="9" customWidth="1"/>
    <col min="10237" max="10237" width="7" style="9" customWidth="1"/>
    <col min="10238" max="10238" width="7.5703125" style="9" customWidth="1"/>
    <col min="10239" max="10239" width="7.140625" style="9" customWidth="1"/>
    <col min="10240" max="10256" width="8.7109375" style="9" customWidth="1"/>
    <col min="10257" max="10257" width="36.85546875" style="9" customWidth="1"/>
    <col min="10258" max="10264" width="14.28515625" style="9" customWidth="1"/>
    <col min="10265" max="10479" width="9.140625" style="9"/>
    <col min="10480" max="10480" width="38.5703125" style="9" customWidth="1"/>
    <col min="10481" max="10481" width="6.5703125" style="9" customWidth="1"/>
    <col min="10482" max="10482" width="7.7109375" style="9" bestFit="1" customWidth="1"/>
    <col min="10483" max="10483" width="7.28515625" style="9" customWidth="1"/>
    <col min="10484" max="10484" width="6.5703125" style="9" bestFit="1" customWidth="1"/>
    <col min="10485" max="10485" width="7.28515625" style="9" bestFit="1" customWidth="1"/>
    <col min="10486" max="10486" width="8.140625" style="9" customWidth="1"/>
    <col min="10487" max="10487" width="7.140625" style="9" customWidth="1"/>
    <col min="10488" max="10488" width="7.7109375" style="9" bestFit="1" customWidth="1"/>
    <col min="10489" max="10489" width="7.28515625" style="9" customWidth="1"/>
    <col min="10490" max="10490" width="7" style="9" customWidth="1"/>
    <col min="10491" max="10491" width="7.5703125" style="9" customWidth="1"/>
    <col min="10492" max="10492" width="7.140625" style="9" customWidth="1"/>
    <col min="10493" max="10493" width="7" style="9" customWidth="1"/>
    <col min="10494" max="10494" width="7.5703125" style="9" customWidth="1"/>
    <col min="10495" max="10495" width="7.140625" style="9" customWidth="1"/>
    <col min="10496" max="10512" width="8.7109375" style="9" customWidth="1"/>
    <col min="10513" max="10513" width="36.85546875" style="9" customWidth="1"/>
    <col min="10514" max="10520" width="14.28515625" style="9" customWidth="1"/>
    <col min="10521" max="10735" width="9.140625" style="9"/>
    <col min="10736" max="10736" width="38.5703125" style="9" customWidth="1"/>
    <col min="10737" max="10737" width="6.5703125" style="9" customWidth="1"/>
    <col min="10738" max="10738" width="7.7109375" style="9" bestFit="1" customWidth="1"/>
    <col min="10739" max="10739" width="7.28515625" style="9" customWidth="1"/>
    <col min="10740" max="10740" width="6.5703125" style="9" bestFit="1" customWidth="1"/>
    <col min="10741" max="10741" width="7.28515625" style="9" bestFit="1" customWidth="1"/>
    <col min="10742" max="10742" width="8.140625" style="9" customWidth="1"/>
    <col min="10743" max="10743" width="7.140625" style="9" customWidth="1"/>
    <col min="10744" max="10744" width="7.7109375" style="9" bestFit="1" customWidth="1"/>
    <col min="10745" max="10745" width="7.28515625" style="9" customWidth="1"/>
    <col min="10746" max="10746" width="7" style="9" customWidth="1"/>
    <col min="10747" max="10747" width="7.5703125" style="9" customWidth="1"/>
    <col min="10748" max="10748" width="7.140625" style="9" customWidth="1"/>
    <col min="10749" max="10749" width="7" style="9" customWidth="1"/>
    <col min="10750" max="10750" width="7.5703125" style="9" customWidth="1"/>
    <col min="10751" max="10751" width="7.140625" style="9" customWidth="1"/>
    <col min="10752" max="10768" width="8.7109375" style="9" customWidth="1"/>
    <col min="10769" max="10769" width="36.85546875" style="9" customWidth="1"/>
    <col min="10770" max="10776" width="14.28515625" style="9" customWidth="1"/>
    <col min="10777" max="10991" width="9.140625" style="9"/>
    <col min="10992" max="10992" width="38.5703125" style="9" customWidth="1"/>
    <col min="10993" max="10993" width="6.5703125" style="9" customWidth="1"/>
    <col min="10994" max="10994" width="7.7109375" style="9" bestFit="1" customWidth="1"/>
    <col min="10995" max="10995" width="7.28515625" style="9" customWidth="1"/>
    <col min="10996" max="10996" width="6.5703125" style="9" bestFit="1" customWidth="1"/>
    <col min="10997" max="10997" width="7.28515625" style="9" bestFit="1" customWidth="1"/>
    <col min="10998" max="10998" width="8.140625" style="9" customWidth="1"/>
    <col min="10999" max="10999" width="7.140625" style="9" customWidth="1"/>
    <col min="11000" max="11000" width="7.7109375" style="9" bestFit="1" customWidth="1"/>
    <col min="11001" max="11001" width="7.28515625" style="9" customWidth="1"/>
    <col min="11002" max="11002" width="7" style="9" customWidth="1"/>
    <col min="11003" max="11003" width="7.5703125" style="9" customWidth="1"/>
    <col min="11004" max="11004" width="7.140625" style="9" customWidth="1"/>
    <col min="11005" max="11005" width="7" style="9" customWidth="1"/>
    <col min="11006" max="11006" width="7.5703125" style="9" customWidth="1"/>
    <col min="11007" max="11007" width="7.140625" style="9" customWidth="1"/>
    <col min="11008" max="11024" width="8.7109375" style="9" customWidth="1"/>
    <col min="11025" max="11025" width="36.85546875" style="9" customWidth="1"/>
    <col min="11026" max="11032" width="14.28515625" style="9" customWidth="1"/>
    <col min="11033" max="11247" width="9.140625" style="9"/>
    <col min="11248" max="11248" width="38.5703125" style="9" customWidth="1"/>
    <col min="11249" max="11249" width="6.5703125" style="9" customWidth="1"/>
    <col min="11250" max="11250" width="7.7109375" style="9" bestFit="1" customWidth="1"/>
    <col min="11251" max="11251" width="7.28515625" style="9" customWidth="1"/>
    <col min="11252" max="11252" width="6.5703125" style="9" bestFit="1" customWidth="1"/>
    <col min="11253" max="11253" width="7.28515625" style="9" bestFit="1" customWidth="1"/>
    <col min="11254" max="11254" width="8.140625" style="9" customWidth="1"/>
    <col min="11255" max="11255" width="7.140625" style="9" customWidth="1"/>
    <col min="11256" max="11256" width="7.7109375" style="9" bestFit="1" customWidth="1"/>
    <col min="11257" max="11257" width="7.28515625" style="9" customWidth="1"/>
    <col min="11258" max="11258" width="7" style="9" customWidth="1"/>
    <col min="11259" max="11259" width="7.5703125" style="9" customWidth="1"/>
    <col min="11260" max="11260" width="7.140625" style="9" customWidth="1"/>
    <col min="11261" max="11261" width="7" style="9" customWidth="1"/>
    <col min="11262" max="11262" width="7.5703125" style="9" customWidth="1"/>
    <col min="11263" max="11263" width="7.140625" style="9" customWidth="1"/>
    <col min="11264" max="11280" width="8.7109375" style="9" customWidth="1"/>
    <col min="11281" max="11281" width="36.85546875" style="9" customWidth="1"/>
    <col min="11282" max="11288" width="14.28515625" style="9" customWidth="1"/>
    <col min="11289" max="11503" width="9.140625" style="9"/>
    <col min="11504" max="11504" width="38.5703125" style="9" customWidth="1"/>
    <col min="11505" max="11505" width="6.5703125" style="9" customWidth="1"/>
    <col min="11506" max="11506" width="7.7109375" style="9" bestFit="1" customWidth="1"/>
    <col min="11507" max="11507" width="7.28515625" style="9" customWidth="1"/>
    <col min="11508" max="11508" width="6.5703125" style="9" bestFit="1" customWidth="1"/>
    <col min="11509" max="11509" width="7.28515625" style="9" bestFit="1" customWidth="1"/>
    <col min="11510" max="11510" width="8.140625" style="9" customWidth="1"/>
    <col min="11511" max="11511" width="7.140625" style="9" customWidth="1"/>
    <col min="11512" max="11512" width="7.7109375" style="9" bestFit="1" customWidth="1"/>
    <col min="11513" max="11513" width="7.28515625" style="9" customWidth="1"/>
    <col min="11514" max="11514" width="7" style="9" customWidth="1"/>
    <col min="11515" max="11515" width="7.5703125" style="9" customWidth="1"/>
    <col min="11516" max="11516" width="7.140625" style="9" customWidth="1"/>
    <col min="11517" max="11517" width="7" style="9" customWidth="1"/>
    <col min="11518" max="11518" width="7.5703125" style="9" customWidth="1"/>
    <col min="11519" max="11519" width="7.140625" style="9" customWidth="1"/>
    <col min="11520" max="11536" width="8.7109375" style="9" customWidth="1"/>
    <col min="11537" max="11537" width="36.85546875" style="9" customWidth="1"/>
    <col min="11538" max="11544" width="14.28515625" style="9" customWidth="1"/>
    <col min="11545" max="11759" width="9.140625" style="9"/>
    <col min="11760" max="11760" width="38.5703125" style="9" customWidth="1"/>
    <col min="11761" max="11761" width="6.5703125" style="9" customWidth="1"/>
    <col min="11762" max="11762" width="7.7109375" style="9" bestFit="1" customWidth="1"/>
    <col min="11763" max="11763" width="7.28515625" style="9" customWidth="1"/>
    <col min="11764" max="11764" width="6.5703125" style="9" bestFit="1" customWidth="1"/>
    <col min="11765" max="11765" width="7.28515625" style="9" bestFit="1" customWidth="1"/>
    <col min="11766" max="11766" width="8.140625" style="9" customWidth="1"/>
    <col min="11767" max="11767" width="7.140625" style="9" customWidth="1"/>
    <col min="11768" max="11768" width="7.7109375" style="9" bestFit="1" customWidth="1"/>
    <col min="11769" max="11769" width="7.28515625" style="9" customWidth="1"/>
    <col min="11770" max="11770" width="7" style="9" customWidth="1"/>
    <col min="11771" max="11771" width="7.5703125" style="9" customWidth="1"/>
    <col min="11772" max="11772" width="7.140625" style="9" customWidth="1"/>
    <col min="11773" max="11773" width="7" style="9" customWidth="1"/>
    <col min="11774" max="11774" width="7.5703125" style="9" customWidth="1"/>
    <col min="11775" max="11775" width="7.140625" style="9" customWidth="1"/>
    <col min="11776" max="11792" width="8.7109375" style="9" customWidth="1"/>
    <col min="11793" max="11793" width="36.85546875" style="9" customWidth="1"/>
    <col min="11794" max="11800" width="14.28515625" style="9" customWidth="1"/>
    <col min="11801" max="12015" width="9.140625" style="9"/>
    <col min="12016" max="12016" width="38.5703125" style="9" customWidth="1"/>
    <col min="12017" max="12017" width="6.5703125" style="9" customWidth="1"/>
    <col min="12018" max="12018" width="7.7109375" style="9" bestFit="1" customWidth="1"/>
    <col min="12019" max="12019" width="7.28515625" style="9" customWidth="1"/>
    <col min="12020" max="12020" width="6.5703125" style="9" bestFit="1" customWidth="1"/>
    <col min="12021" max="12021" width="7.28515625" style="9" bestFit="1" customWidth="1"/>
    <col min="12022" max="12022" width="8.140625" style="9" customWidth="1"/>
    <col min="12023" max="12023" width="7.140625" style="9" customWidth="1"/>
    <col min="12024" max="12024" width="7.7109375" style="9" bestFit="1" customWidth="1"/>
    <col min="12025" max="12025" width="7.28515625" style="9" customWidth="1"/>
    <col min="12026" max="12026" width="7" style="9" customWidth="1"/>
    <col min="12027" max="12027" width="7.5703125" style="9" customWidth="1"/>
    <col min="12028" max="12028" width="7.140625" style="9" customWidth="1"/>
    <col min="12029" max="12029" width="7" style="9" customWidth="1"/>
    <col min="12030" max="12030" width="7.5703125" style="9" customWidth="1"/>
    <col min="12031" max="12031" width="7.140625" style="9" customWidth="1"/>
    <col min="12032" max="12048" width="8.7109375" style="9" customWidth="1"/>
    <col min="12049" max="12049" width="36.85546875" style="9" customWidth="1"/>
    <col min="12050" max="12056" width="14.28515625" style="9" customWidth="1"/>
    <col min="12057" max="12271" width="9.140625" style="9"/>
    <col min="12272" max="12272" width="38.5703125" style="9" customWidth="1"/>
    <col min="12273" max="12273" width="6.5703125" style="9" customWidth="1"/>
    <col min="12274" max="12274" width="7.7109375" style="9" bestFit="1" customWidth="1"/>
    <col min="12275" max="12275" width="7.28515625" style="9" customWidth="1"/>
    <col min="12276" max="12276" width="6.5703125" style="9" bestFit="1" customWidth="1"/>
    <col min="12277" max="12277" width="7.28515625" style="9" bestFit="1" customWidth="1"/>
    <col min="12278" max="12278" width="8.140625" style="9" customWidth="1"/>
    <col min="12279" max="12279" width="7.140625" style="9" customWidth="1"/>
    <col min="12280" max="12280" width="7.7109375" style="9" bestFit="1" customWidth="1"/>
    <col min="12281" max="12281" width="7.28515625" style="9" customWidth="1"/>
    <col min="12282" max="12282" width="7" style="9" customWidth="1"/>
    <col min="12283" max="12283" width="7.5703125" style="9" customWidth="1"/>
    <col min="12284" max="12284" width="7.140625" style="9" customWidth="1"/>
    <col min="12285" max="12285" width="7" style="9" customWidth="1"/>
    <col min="12286" max="12286" width="7.5703125" style="9" customWidth="1"/>
    <col min="12287" max="12287" width="7.140625" style="9" customWidth="1"/>
    <col min="12288" max="12304" width="8.7109375" style="9" customWidth="1"/>
    <col min="12305" max="12305" width="36.85546875" style="9" customWidth="1"/>
    <col min="12306" max="12312" width="14.28515625" style="9" customWidth="1"/>
    <col min="12313" max="12527" width="9.140625" style="9"/>
    <col min="12528" max="12528" width="38.5703125" style="9" customWidth="1"/>
    <col min="12529" max="12529" width="6.5703125" style="9" customWidth="1"/>
    <col min="12530" max="12530" width="7.7109375" style="9" bestFit="1" customWidth="1"/>
    <col min="12531" max="12531" width="7.28515625" style="9" customWidth="1"/>
    <col min="12532" max="12532" width="6.5703125" style="9" bestFit="1" customWidth="1"/>
    <col min="12533" max="12533" width="7.28515625" style="9" bestFit="1" customWidth="1"/>
    <col min="12534" max="12534" width="8.140625" style="9" customWidth="1"/>
    <col min="12535" max="12535" width="7.140625" style="9" customWidth="1"/>
    <col min="12536" max="12536" width="7.7109375" style="9" bestFit="1" customWidth="1"/>
    <col min="12537" max="12537" width="7.28515625" style="9" customWidth="1"/>
    <col min="12538" max="12538" width="7" style="9" customWidth="1"/>
    <col min="12539" max="12539" width="7.5703125" style="9" customWidth="1"/>
    <col min="12540" max="12540" width="7.140625" style="9" customWidth="1"/>
    <col min="12541" max="12541" width="7" style="9" customWidth="1"/>
    <col min="12542" max="12542" width="7.5703125" style="9" customWidth="1"/>
    <col min="12543" max="12543" width="7.140625" style="9" customWidth="1"/>
    <col min="12544" max="12560" width="8.7109375" style="9" customWidth="1"/>
    <col min="12561" max="12561" width="36.85546875" style="9" customWidth="1"/>
    <col min="12562" max="12568" width="14.28515625" style="9" customWidth="1"/>
    <col min="12569" max="12783" width="9.140625" style="9"/>
    <col min="12784" max="12784" width="38.5703125" style="9" customWidth="1"/>
    <col min="12785" max="12785" width="6.5703125" style="9" customWidth="1"/>
    <col min="12786" max="12786" width="7.7109375" style="9" bestFit="1" customWidth="1"/>
    <col min="12787" max="12787" width="7.28515625" style="9" customWidth="1"/>
    <col min="12788" max="12788" width="6.5703125" style="9" bestFit="1" customWidth="1"/>
    <col min="12789" max="12789" width="7.28515625" style="9" bestFit="1" customWidth="1"/>
    <col min="12790" max="12790" width="8.140625" style="9" customWidth="1"/>
    <col min="12791" max="12791" width="7.140625" style="9" customWidth="1"/>
    <col min="12792" max="12792" width="7.7109375" style="9" bestFit="1" customWidth="1"/>
    <col min="12793" max="12793" width="7.28515625" style="9" customWidth="1"/>
    <col min="12794" max="12794" width="7" style="9" customWidth="1"/>
    <col min="12795" max="12795" width="7.5703125" style="9" customWidth="1"/>
    <col min="12796" max="12796" width="7.140625" style="9" customWidth="1"/>
    <col min="12797" max="12797" width="7" style="9" customWidth="1"/>
    <col min="12798" max="12798" width="7.5703125" style="9" customWidth="1"/>
    <col min="12799" max="12799" width="7.140625" style="9" customWidth="1"/>
    <col min="12800" max="12816" width="8.7109375" style="9" customWidth="1"/>
    <col min="12817" max="12817" width="36.85546875" style="9" customWidth="1"/>
    <col min="12818" max="12824" width="14.28515625" style="9" customWidth="1"/>
    <col min="12825" max="13039" width="9.140625" style="9"/>
    <col min="13040" max="13040" width="38.5703125" style="9" customWidth="1"/>
    <col min="13041" max="13041" width="6.5703125" style="9" customWidth="1"/>
    <col min="13042" max="13042" width="7.7109375" style="9" bestFit="1" customWidth="1"/>
    <col min="13043" max="13043" width="7.28515625" style="9" customWidth="1"/>
    <col min="13044" max="13044" width="6.5703125" style="9" bestFit="1" customWidth="1"/>
    <col min="13045" max="13045" width="7.28515625" style="9" bestFit="1" customWidth="1"/>
    <col min="13046" max="13046" width="8.140625" style="9" customWidth="1"/>
    <col min="13047" max="13047" width="7.140625" style="9" customWidth="1"/>
    <col min="13048" max="13048" width="7.7109375" style="9" bestFit="1" customWidth="1"/>
    <col min="13049" max="13049" width="7.28515625" style="9" customWidth="1"/>
    <col min="13050" max="13050" width="7" style="9" customWidth="1"/>
    <col min="13051" max="13051" width="7.5703125" style="9" customWidth="1"/>
    <col min="13052" max="13052" width="7.140625" style="9" customWidth="1"/>
    <col min="13053" max="13053" width="7" style="9" customWidth="1"/>
    <col min="13054" max="13054" width="7.5703125" style="9" customWidth="1"/>
    <col min="13055" max="13055" width="7.140625" style="9" customWidth="1"/>
    <col min="13056" max="13072" width="8.7109375" style="9" customWidth="1"/>
    <col min="13073" max="13073" width="36.85546875" style="9" customWidth="1"/>
    <col min="13074" max="13080" width="14.28515625" style="9" customWidth="1"/>
    <col min="13081" max="13295" width="9.140625" style="9"/>
    <col min="13296" max="13296" width="38.5703125" style="9" customWidth="1"/>
    <col min="13297" max="13297" width="6.5703125" style="9" customWidth="1"/>
    <col min="13298" max="13298" width="7.7109375" style="9" bestFit="1" customWidth="1"/>
    <col min="13299" max="13299" width="7.28515625" style="9" customWidth="1"/>
    <col min="13300" max="13300" width="6.5703125" style="9" bestFit="1" customWidth="1"/>
    <col min="13301" max="13301" width="7.28515625" style="9" bestFit="1" customWidth="1"/>
    <col min="13302" max="13302" width="8.140625" style="9" customWidth="1"/>
    <col min="13303" max="13303" width="7.140625" style="9" customWidth="1"/>
    <col min="13304" max="13304" width="7.7109375" style="9" bestFit="1" customWidth="1"/>
    <col min="13305" max="13305" width="7.28515625" style="9" customWidth="1"/>
    <col min="13306" max="13306" width="7" style="9" customWidth="1"/>
    <col min="13307" max="13307" width="7.5703125" style="9" customWidth="1"/>
    <col min="13308" max="13308" width="7.140625" style="9" customWidth="1"/>
    <col min="13309" max="13309" width="7" style="9" customWidth="1"/>
    <col min="13310" max="13310" width="7.5703125" style="9" customWidth="1"/>
    <col min="13311" max="13311" width="7.140625" style="9" customWidth="1"/>
    <col min="13312" max="13328" width="8.7109375" style="9" customWidth="1"/>
    <col min="13329" max="13329" width="36.85546875" style="9" customWidth="1"/>
    <col min="13330" max="13336" width="14.28515625" style="9" customWidth="1"/>
    <col min="13337" max="13551" width="9.140625" style="9"/>
    <col min="13552" max="13552" width="38.5703125" style="9" customWidth="1"/>
    <col min="13553" max="13553" width="6.5703125" style="9" customWidth="1"/>
    <col min="13554" max="13554" width="7.7109375" style="9" bestFit="1" customWidth="1"/>
    <col min="13555" max="13555" width="7.28515625" style="9" customWidth="1"/>
    <col min="13556" max="13556" width="6.5703125" style="9" bestFit="1" customWidth="1"/>
    <col min="13557" max="13557" width="7.28515625" style="9" bestFit="1" customWidth="1"/>
    <col min="13558" max="13558" width="8.140625" style="9" customWidth="1"/>
    <col min="13559" max="13559" width="7.140625" style="9" customWidth="1"/>
    <col min="13560" max="13560" width="7.7109375" style="9" bestFit="1" customWidth="1"/>
    <col min="13561" max="13561" width="7.28515625" style="9" customWidth="1"/>
    <col min="13562" max="13562" width="7" style="9" customWidth="1"/>
    <col min="13563" max="13563" width="7.5703125" style="9" customWidth="1"/>
    <col min="13564" max="13564" width="7.140625" style="9" customWidth="1"/>
    <col min="13565" max="13565" width="7" style="9" customWidth="1"/>
    <col min="13566" max="13566" width="7.5703125" style="9" customWidth="1"/>
    <col min="13567" max="13567" width="7.140625" style="9" customWidth="1"/>
    <col min="13568" max="13584" width="8.7109375" style="9" customWidth="1"/>
    <col min="13585" max="13585" width="36.85546875" style="9" customWidth="1"/>
    <col min="13586" max="13592" width="14.28515625" style="9" customWidth="1"/>
    <col min="13593" max="13807" width="9.140625" style="9"/>
    <col min="13808" max="13808" width="38.5703125" style="9" customWidth="1"/>
    <col min="13809" max="13809" width="6.5703125" style="9" customWidth="1"/>
    <col min="13810" max="13810" width="7.7109375" style="9" bestFit="1" customWidth="1"/>
    <col min="13811" max="13811" width="7.28515625" style="9" customWidth="1"/>
    <col min="13812" max="13812" width="6.5703125" style="9" bestFit="1" customWidth="1"/>
    <col min="13813" max="13813" width="7.28515625" style="9" bestFit="1" customWidth="1"/>
    <col min="13814" max="13814" width="8.140625" style="9" customWidth="1"/>
    <col min="13815" max="13815" width="7.140625" style="9" customWidth="1"/>
    <col min="13816" max="13816" width="7.7109375" style="9" bestFit="1" customWidth="1"/>
    <col min="13817" max="13817" width="7.28515625" style="9" customWidth="1"/>
    <col min="13818" max="13818" width="7" style="9" customWidth="1"/>
    <col min="13819" max="13819" width="7.5703125" style="9" customWidth="1"/>
    <col min="13820" max="13820" width="7.140625" style="9" customWidth="1"/>
    <col min="13821" max="13821" width="7" style="9" customWidth="1"/>
    <col min="13822" max="13822" width="7.5703125" style="9" customWidth="1"/>
    <col min="13823" max="13823" width="7.140625" style="9" customWidth="1"/>
    <col min="13824" max="13840" width="8.7109375" style="9" customWidth="1"/>
    <col min="13841" max="13841" width="36.85546875" style="9" customWidth="1"/>
    <col min="13842" max="13848" width="14.28515625" style="9" customWidth="1"/>
    <col min="13849" max="14063" width="9.140625" style="9"/>
    <col min="14064" max="14064" width="38.5703125" style="9" customWidth="1"/>
    <col min="14065" max="14065" width="6.5703125" style="9" customWidth="1"/>
    <col min="14066" max="14066" width="7.7109375" style="9" bestFit="1" customWidth="1"/>
    <col min="14067" max="14067" width="7.28515625" style="9" customWidth="1"/>
    <col min="14068" max="14068" width="6.5703125" style="9" bestFit="1" customWidth="1"/>
    <col min="14069" max="14069" width="7.28515625" style="9" bestFit="1" customWidth="1"/>
    <col min="14070" max="14070" width="8.140625" style="9" customWidth="1"/>
    <col min="14071" max="14071" width="7.140625" style="9" customWidth="1"/>
    <col min="14072" max="14072" width="7.7109375" style="9" bestFit="1" customWidth="1"/>
    <col min="14073" max="14073" width="7.28515625" style="9" customWidth="1"/>
    <col min="14074" max="14074" width="7" style="9" customWidth="1"/>
    <col min="14075" max="14075" width="7.5703125" style="9" customWidth="1"/>
    <col min="14076" max="14076" width="7.140625" style="9" customWidth="1"/>
    <col min="14077" max="14077" width="7" style="9" customWidth="1"/>
    <col min="14078" max="14078" width="7.5703125" style="9" customWidth="1"/>
    <col min="14079" max="14079" width="7.140625" style="9" customWidth="1"/>
    <col min="14080" max="14096" width="8.7109375" style="9" customWidth="1"/>
    <col min="14097" max="14097" width="36.85546875" style="9" customWidth="1"/>
    <col min="14098" max="14104" width="14.28515625" style="9" customWidth="1"/>
    <col min="14105" max="14319" width="9.140625" style="9"/>
    <col min="14320" max="14320" width="38.5703125" style="9" customWidth="1"/>
    <col min="14321" max="14321" width="6.5703125" style="9" customWidth="1"/>
    <col min="14322" max="14322" width="7.7109375" style="9" bestFit="1" customWidth="1"/>
    <col min="14323" max="14323" width="7.28515625" style="9" customWidth="1"/>
    <col min="14324" max="14324" width="6.5703125" style="9" bestFit="1" customWidth="1"/>
    <col min="14325" max="14325" width="7.28515625" style="9" bestFit="1" customWidth="1"/>
    <col min="14326" max="14326" width="8.140625" style="9" customWidth="1"/>
    <col min="14327" max="14327" width="7.140625" style="9" customWidth="1"/>
    <col min="14328" max="14328" width="7.7109375" style="9" bestFit="1" customWidth="1"/>
    <col min="14329" max="14329" width="7.28515625" style="9" customWidth="1"/>
    <col min="14330" max="14330" width="7" style="9" customWidth="1"/>
    <col min="14331" max="14331" width="7.5703125" style="9" customWidth="1"/>
    <col min="14332" max="14332" width="7.140625" style="9" customWidth="1"/>
    <col min="14333" max="14333" width="7" style="9" customWidth="1"/>
    <col min="14334" max="14334" width="7.5703125" style="9" customWidth="1"/>
    <col min="14335" max="14335" width="7.140625" style="9" customWidth="1"/>
    <col min="14336" max="14352" width="8.7109375" style="9" customWidth="1"/>
    <col min="14353" max="14353" width="36.85546875" style="9" customWidth="1"/>
    <col min="14354" max="14360" width="14.28515625" style="9" customWidth="1"/>
    <col min="14361" max="14575" width="9.140625" style="9"/>
    <col min="14576" max="14576" width="38.5703125" style="9" customWidth="1"/>
    <col min="14577" max="14577" width="6.5703125" style="9" customWidth="1"/>
    <col min="14578" max="14578" width="7.7109375" style="9" bestFit="1" customWidth="1"/>
    <col min="14579" max="14579" width="7.28515625" style="9" customWidth="1"/>
    <col min="14580" max="14580" width="6.5703125" style="9" bestFit="1" customWidth="1"/>
    <col min="14581" max="14581" width="7.28515625" style="9" bestFit="1" customWidth="1"/>
    <col min="14582" max="14582" width="8.140625" style="9" customWidth="1"/>
    <col min="14583" max="14583" width="7.140625" style="9" customWidth="1"/>
    <col min="14584" max="14584" width="7.7109375" style="9" bestFit="1" customWidth="1"/>
    <col min="14585" max="14585" width="7.28515625" style="9" customWidth="1"/>
    <col min="14586" max="14586" width="7" style="9" customWidth="1"/>
    <col min="14587" max="14587" width="7.5703125" style="9" customWidth="1"/>
    <col min="14588" max="14588" width="7.140625" style="9" customWidth="1"/>
    <col min="14589" max="14589" width="7" style="9" customWidth="1"/>
    <col min="14590" max="14590" width="7.5703125" style="9" customWidth="1"/>
    <col min="14591" max="14591" width="7.140625" style="9" customWidth="1"/>
    <col min="14592" max="14608" width="8.7109375" style="9" customWidth="1"/>
    <col min="14609" max="14609" width="36.85546875" style="9" customWidth="1"/>
    <col min="14610" max="14616" width="14.28515625" style="9" customWidth="1"/>
    <col min="14617" max="14831" width="9.140625" style="9"/>
    <col min="14832" max="14832" width="38.5703125" style="9" customWidth="1"/>
    <col min="14833" max="14833" width="6.5703125" style="9" customWidth="1"/>
    <col min="14834" max="14834" width="7.7109375" style="9" bestFit="1" customWidth="1"/>
    <col min="14835" max="14835" width="7.28515625" style="9" customWidth="1"/>
    <col min="14836" max="14836" width="6.5703125" style="9" bestFit="1" customWidth="1"/>
    <col min="14837" max="14837" width="7.28515625" style="9" bestFit="1" customWidth="1"/>
    <col min="14838" max="14838" width="8.140625" style="9" customWidth="1"/>
    <col min="14839" max="14839" width="7.140625" style="9" customWidth="1"/>
    <col min="14840" max="14840" width="7.7109375" style="9" bestFit="1" customWidth="1"/>
    <col min="14841" max="14841" width="7.28515625" style="9" customWidth="1"/>
    <col min="14842" max="14842" width="7" style="9" customWidth="1"/>
    <col min="14843" max="14843" width="7.5703125" style="9" customWidth="1"/>
    <col min="14844" max="14844" width="7.140625" style="9" customWidth="1"/>
    <col min="14845" max="14845" width="7" style="9" customWidth="1"/>
    <col min="14846" max="14846" width="7.5703125" style="9" customWidth="1"/>
    <col min="14847" max="14847" width="7.140625" style="9" customWidth="1"/>
    <col min="14848" max="14864" width="8.7109375" style="9" customWidth="1"/>
    <col min="14865" max="14865" width="36.85546875" style="9" customWidth="1"/>
    <col min="14866" max="14872" width="14.28515625" style="9" customWidth="1"/>
    <col min="14873" max="15087" width="9.140625" style="9"/>
    <col min="15088" max="15088" width="38.5703125" style="9" customWidth="1"/>
    <col min="15089" max="15089" width="6.5703125" style="9" customWidth="1"/>
    <col min="15090" max="15090" width="7.7109375" style="9" bestFit="1" customWidth="1"/>
    <col min="15091" max="15091" width="7.28515625" style="9" customWidth="1"/>
    <col min="15092" max="15092" width="6.5703125" style="9" bestFit="1" customWidth="1"/>
    <col min="15093" max="15093" width="7.28515625" style="9" bestFit="1" customWidth="1"/>
    <col min="15094" max="15094" width="8.140625" style="9" customWidth="1"/>
    <col min="15095" max="15095" width="7.140625" style="9" customWidth="1"/>
    <col min="15096" max="15096" width="7.7109375" style="9" bestFit="1" customWidth="1"/>
    <col min="15097" max="15097" width="7.28515625" style="9" customWidth="1"/>
    <col min="15098" max="15098" width="7" style="9" customWidth="1"/>
    <col min="15099" max="15099" width="7.5703125" style="9" customWidth="1"/>
    <col min="15100" max="15100" width="7.140625" style="9" customWidth="1"/>
    <col min="15101" max="15101" width="7" style="9" customWidth="1"/>
    <col min="15102" max="15102" width="7.5703125" style="9" customWidth="1"/>
    <col min="15103" max="15103" width="7.140625" style="9" customWidth="1"/>
    <col min="15104" max="15120" width="8.7109375" style="9" customWidth="1"/>
    <col min="15121" max="15121" width="36.85546875" style="9" customWidth="1"/>
    <col min="15122" max="15128" width="14.28515625" style="9" customWidth="1"/>
    <col min="15129" max="15343" width="9.140625" style="9"/>
    <col min="15344" max="15344" width="38.5703125" style="9" customWidth="1"/>
    <col min="15345" max="15345" width="6.5703125" style="9" customWidth="1"/>
    <col min="15346" max="15346" width="7.7109375" style="9" bestFit="1" customWidth="1"/>
    <col min="15347" max="15347" width="7.28515625" style="9" customWidth="1"/>
    <col min="15348" max="15348" width="6.5703125" style="9" bestFit="1" customWidth="1"/>
    <col min="15349" max="15349" width="7.28515625" style="9" bestFit="1" customWidth="1"/>
    <col min="15350" max="15350" width="8.140625" style="9" customWidth="1"/>
    <col min="15351" max="15351" width="7.140625" style="9" customWidth="1"/>
    <col min="15352" max="15352" width="7.7109375" style="9" bestFit="1" customWidth="1"/>
    <col min="15353" max="15353" width="7.28515625" style="9" customWidth="1"/>
    <col min="15354" max="15354" width="7" style="9" customWidth="1"/>
    <col min="15355" max="15355" width="7.5703125" style="9" customWidth="1"/>
    <col min="15356" max="15356" width="7.140625" style="9" customWidth="1"/>
    <col min="15357" max="15357" width="7" style="9" customWidth="1"/>
    <col min="15358" max="15358" width="7.5703125" style="9" customWidth="1"/>
    <col min="15359" max="15359" width="7.140625" style="9" customWidth="1"/>
    <col min="15360" max="15376" width="8.7109375" style="9" customWidth="1"/>
    <col min="15377" max="15377" width="36.85546875" style="9" customWidth="1"/>
    <col min="15378" max="15384" width="14.28515625" style="9" customWidth="1"/>
    <col min="15385" max="15599" width="9.140625" style="9"/>
    <col min="15600" max="15600" width="38.5703125" style="9" customWidth="1"/>
    <col min="15601" max="15601" width="6.5703125" style="9" customWidth="1"/>
    <col min="15602" max="15602" width="7.7109375" style="9" bestFit="1" customWidth="1"/>
    <col min="15603" max="15603" width="7.28515625" style="9" customWidth="1"/>
    <col min="15604" max="15604" width="6.5703125" style="9" bestFit="1" customWidth="1"/>
    <col min="15605" max="15605" width="7.28515625" style="9" bestFit="1" customWidth="1"/>
    <col min="15606" max="15606" width="8.140625" style="9" customWidth="1"/>
    <col min="15607" max="15607" width="7.140625" style="9" customWidth="1"/>
    <col min="15608" max="15608" width="7.7109375" style="9" bestFit="1" customWidth="1"/>
    <col min="15609" max="15609" width="7.28515625" style="9" customWidth="1"/>
    <col min="15610" max="15610" width="7" style="9" customWidth="1"/>
    <col min="15611" max="15611" width="7.5703125" style="9" customWidth="1"/>
    <col min="15612" max="15612" width="7.140625" style="9" customWidth="1"/>
    <col min="15613" max="15613" width="7" style="9" customWidth="1"/>
    <col min="15614" max="15614" width="7.5703125" style="9" customWidth="1"/>
    <col min="15615" max="15615" width="7.140625" style="9" customWidth="1"/>
    <col min="15616" max="15632" width="8.7109375" style="9" customWidth="1"/>
    <col min="15633" max="15633" width="36.85546875" style="9" customWidth="1"/>
    <col min="15634" max="15640" width="14.28515625" style="9" customWidth="1"/>
    <col min="15641" max="15855" width="9.140625" style="9"/>
    <col min="15856" max="15856" width="38.5703125" style="9" customWidth="1"/>
    <col min="15857" max="15857" width="6.5703125" style="9" customWidth="1"/>
    <col min="15858" max="15858" width="7.7109375" style="9" bestFit="1" customWidth="1"/>
    <col min="15859" max="15859" width="7.28515625" style="9" customWidth="1"/>
    <col min="15860" max="15860" width="6.5703125" style="9" bestFit="1" customWidth="1"/>
    <col min="15861" max="15861" width="7.28515625" style="9" bestFit="1" customWidth="1"/>
    <col min="15862" max="15862" width="8.140625" style="9" customWidth="1"/>
    <col min="15863" max="15863" width="7.140625" style="9" customWidth="1"/>
    <col min="15864" max="15864" width="7.7109375" style="9" bestFit="1" customWidth="1"/>
    <col min="15865" max="15865" width="7.28515625" style="9" customWidth="1"/>
    <col min="15866" max="15866" width="7" style="9" customWidth="1"/>
    <col min="15867" max="15867" width="7.5703125" style="9" customWidth="1"/>
    <col min="15868" max="15868" width="7.140625" style="9" customWidth="1"/>
    <col min="15869" max="15869" width="7" style="9" customWidth="1"/>
    <col min="15870" max="15870" width="7.5703125" style="9" customWidth="1"/>
    <col min="15871" max="15871" width="7.140625" style="9" customWidth="1"/>
    <col min="15872" max="15888" width="8.7109375" style="9" customWidth="1"/>
    <col min="15889" max="15889" width="36.85546875" style="9" customWidth="1"/>
    <col min="15890" max="15896" width="14.28515625" style="9" customWidth="1"/>
    <col min="15897" max="16111" width="9.140625" style="9"/>
    <col min="16112" max="16112" width="38.5703125" style="9" customWidth="1"/>
    <col min="16113" max="16113" width="6.5703125" style="9" customWidth="1"/>
    <col min="16114" max="16114" width="7.7109375" style="9" bestFit="1" customWidth="1"/>
    <col min="16115" max="16115" width="7.28515625" style="9" customWidth="1"/>
    <col min="16116" max="16116" width="6.5703125" style="9" bestFit="1" customWidth="1"/>
    <col min="16117" max="16117" width="7.28515625" style="9" bestFit="1" customWidth="1"/>
    <col min="16118" max="16118" width="8.140625" style="9" customWidth="1"/>
    <col min="16119" max="16119" width="7.140625" style="9" customWidth="1"/>
    <col min="16120" max="16120" width="7.7109375" style="9" bestFit="1" customWidth="1"/>
    <col min="16121" max="16121" width="7.28515625" style="9" customWidth="1"/>
    <col min="16122" max="16122" width="7" style="9" customWidth="1"/>
    <col min="16123" max="16123" width="7.5703125" style="9" customWidth="1"/>
    <col min="16124" max="16124" width="7.140625" style="9" customWidth="1"/>
    <col min="16125" max="16125" width="7" style="9" customWidth="1"/>
    <col min="16126" max="16126" width="7.5703125" style="9" customWidth="1"/>
    <col min="16127" max="16127" width="7.140625" style="9" customWidth="1"/>
    <col min="16128" max="16144" width="8.7109375" style="9" customWidth="1"/>
    <col min="16145" max="16145" width="36.85546875" style="9" customWidth="1"/>
    <col min="16146" max="16152" width="14.28515625" style="9" customWidth="1"/>
    <col min="16153" max="16384" width="9.140625" style="9"/>
  </cols>
  <sheetData>
    <row r="1" spans="1:31" ht="20.25" customHeight="1">
      <c r="Y1" s="1519" t="s">
        <v>1503</v>
      </c>
      <c r="Z1" s="1520"/>
    </row>
    <row r="2" spans="1:31" ht="41.25" customHeight="1">
      <c r="A2" s="1547" t="s">
        <v>1201</v>
      </c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  <c r="N2" s="1547"/>
      <c r="O2" s="1547"/>
      <c r="P2" s="1547"/>
      <c r="Q2" s="1547"/>
      <c r="R2" s="1547"/>
      <c r="S2" s="1547"/>
      <c r="T2" s="1547"/>
      <c r="U2" s="1547"/>
      <c r="V2" s="1547"/>
      <c r="W2" s="1547"/>
      <c r="X2" s="1547"/>
      <c r="Y2" s="1547"/>
      <c r="Z2" s="1547"/>
    </row>
    <row r="3" spans="1:31" s="192" customFormat="1" ht="29.25" customHeight="1">
      <c r="A3" s="187" t="s">
        <v>732</v>
      </c>
      <c r="B3" s="188"/>
      <c r="C3" s="1536" t="s">
        <v>1346</v>
      </c>
      <c r="D3" s="1536"/>
      <c r="E3" s="1536"/>
      <c r="F3" s="1536"/>
      <c r="G3" s="1536"/>
      <c r="H3" s="1536"/>
      <c r="I3" s="1536"/>
      <c r="J3" s="1536"/>
      <c r="K3" s="1536"/>
      <c r="L3" s="1536"/>
      <c r="M3" s="1536"/>
      <c r="N3" s="596"/>
      <c r="Z3" s="598"/>
      <c r="AB3" s="884"/>
      <c r="AC3" s="884"/>
    </row>
    <row r="4" spans="1:31" ht="14.25" customHeight="1">
      <c r="B4" s="234"/>
      <c r="C4" s="16"/>
      <c r="D4" s="16"/>
      <c r="E4" s="16"/>
      <c r="F4" s="16"/>
      <c r="G4" s="16"/>
      <c r="H4" s="16"/>
      <c r="I4" s="16"/>
      <c r="J4" s="9"/>
      <c r="K4" s="9"/>
      <c r="L4" s="9"/>
      <c r="M4" s="9"/>
      <c r="N4" s="9"/>
      <c r="P4" s="595"/>
      <c r="Q4" s="595"/>
      <c r="R4" s="595"/>
      <c r="S4" s="595"/>
      <c r="T4" s="595"/>
      <c r="U4" s="595"/>
      <c r="V4" s="595"/>
      <c r="W4" s="595"/>
      <c r="X4" s="595"/>
      <c r="Y4" s="595"/>
    </row>
    <row r="5" spans="1:31" ht="31.5" customHeight="1">
      <c r="A5" s="1548" t="s">
        <v>740</v>
      </c>
      <c r="B5" s="1549"/>
      <c r="C5" s="1545" t="s">
        <v>1019</v>
      </c>
      <c r="D5" s="1545"/>
      <c r="E5" s="1545"/>
      <c r="F5" s="1545"/>
      <c r="G5" s="1545"/>
      <c r="H5" s="1545"/>
      <c r="I5" s="1545"/>
      <c r="J5" s="1545"/>
      <c r="K5" s="1545"/>
      <c r="L5" s="1545"/>
      <c r="M5" s="1546"/>
      <c r="N5" s="603"/>
      <c r="O5" s="1525" t="s">
        <v>1020</v>
      </c>
      <c r="P5" s="1526"/>
      <c r="Q5" s="1526"/>
      <c r="R5" s="1526"/>
      <c r="S5" s="1526"/>
      <c r="T5" s="1526"/>
      <c r="U5" s="1526"/>
      <c r="V5" s="1526"/>
      <c r="W5" s="1526"/>
      <c r="X5" s="1526"/>
      <c r="Y5" s="1527"/>
      <c r="Z5" s="1539" t="s">
        <v>1021</v>
      </c>
    </row>
    <row r="6" spans="1:31" s="21" customFormat="1" ht="20.100000000000001" customHeight="1">
      <c r="A6" s="1550"/>
      <c r="B6" s="1551"/>
      <c r="C6" s="1542" t="s">
        <v>1202</v>
      </c>
      <c r="D6" s="1542"/>
      <c r="E6" s="1542"/>
      <c r="F6" s="1542"/>
      <c r="G6" s="1542"/>
      <c r="H6" s="1542"/>
      <c r="I6" s="1542"/>
      <c r="J6" s="1542"/>
      <c r="K6" s="1542"/>
      <c r="L6" s="1542"/>
      <c r="M6" s="1543"/>
      <c r="N6" s="604"/>
      <c r="O6" s="1554" t="s">
        <v>1202</v>
      </c>
      <c r="P6" s="1555"/>
      <c r="Q6" s="1555"/>
      <c r="R6" s="1555"/>
      <c r="S6" s="1555"/>
      <c r="T6" s="1555"/>
      <c r="U6" s="1555"/>
      <c r="V6" s="1555"/>
      <c r="W6" s="1555"/>
      <c r="X6" s="1555"/>
      <c r="Y6" s="1556"/>
      <c r="Z6" s="1539"/>
      <c r="AB6" s="885"/>
      <c r="AC6" s="885"/>
    </row>
    <row r="7" spans="1:31" s="21" customFormat="1" ht="30.75" customHeight="1">
      <c r="A7" s="1550"/>
      <c r="B7" s="1551"/>
      <c r="C7" s="1523" t="s">
        <v>997</v>
      </c>
      <c r="D7" s="1523" t="s">
        <v>155</v>
      </c>
      <c r="E7" s="1523"/>
      <c r="F7" s="1523"/>
      <c r="G7" s="1523"/>
      <c r="H7" s="1523"/>
      <c r="I7" s="1524"/>
      <c r="J7" s="1544" t="s">
        <v>998</v>
      </c>
      <c r="K7" s="1523"/>
      <c r="L7" s="1524"/>
      <c r="M7" s="1540" t="s">
        <v>136</v>
      </c>
      <c r="N7" s="604"/>
      <c r="O7" s="1544" t="s">
        <v>997</v>
      </c>
      <c r="P7" s="1523" t="s">
        <v>155</v>
      </c>
      <c r="Q7" s="1523"/>
      <c r="R7" s="1523"/>
      <c r="S7" s="1523"/>
      <c r="T7" s="1523"/>
      <c r="U7" s="1524"/>
      <c r="V7" s="1544" t="s">
        <v>998</v>
      </c>
      <c r="W7" s="1523"/>
      <c r="X7" s="1524"/>
      <c r="Y7" s="1540" t="s">
        <v>136</v>
      </c>
      <c r="Z7" s="1539"/>
      <c r="AB7" s="885"/>
      <c r="AC7" s="885"/>
    </row>
    <row r="8" spans="1:31" s="21" customFormat="1" ht="30" customHeight="1">
      <c r="A8" s="1552"/>
      <c r="B8" s="1553"/>
      <c r="C8" s="597" t="s">
        <v>999</v>
      </c>
      <c r="D8" s="557" t="s">
        <v>1000</v>
      </c>
      <c r="E8" s="557" t="s">
        <v>1001</v>
      </c>
      <c r="F8" s="557" t="s">
        <v>1002</v>
      </c>
      <c r="G8" s="557" t="s">
        <v>1444</v>
      </c>
      <c r="H8" s="557" t="s">
        <v>1406</v>
      </c>
      <c r="I8" s="22" t="s">
        <v>136</v>
      </c>
      <c r="J8" s="558" t="s">
        <v>1004</v>
      </c>
      <c r="K8" s="558" t="s">
        <v>134</v>
      </c>
      <c r="L8" s="22" t="s">
        <v>136</v>
      </c>
      <c r="M8" s="1541"/>
      <c r="N8" s="604"/>
      <c r="O8" s="557" t="s">
        <v>999</v>
      </c>
      <c r="P8" s="557" t="s">
        <v>1000</v>
      </c>
      <c r="Q8" s="557" t="s">
        <v>1001</v>
      </c>
      <c r="R8" s="557" t="s">
        <v>1002</v>
      </c>
      <c r="S8" s="557"/>
      <c r="T8" s="557" t="s">
        <v>1406</v>
      </c>
      <c r="U8" s="22" t="s">
        <v>136</v>
      </c>
      <c r="V8" s="558" t="s">
        <v>1004</v>
      </c>
      <c r="W8" s="558" t="s">
        <v>134</v>
      </c>
      <c r="X8" s="22" t="s">
        <v>136</v>
      </c>
      <c r="Y8" s="1541"/>
      <c r="Z8" s="1539"/>
      <c r="AB8" s="885"/>
      <c r="AC8" s="885"/>
    </row>
    <row r="9" spans="1:31" ht="15" customHeight="1">
      <c r="A9" s="1528" t="s">
        <v>140</v>
      </c>
      <c r="B9" s="1529"/>
      <c r="C9" s="1479"/>
      <c r="D9" s="1479"/>
      <c r="E9" s="1479"/>
      <c r="F9" s="1479"/>
      <c r="G9" s="1479"/>
      <c r="H9" s="1479"/>
      <c r="I9" s="1479"/>
      <c r="J9" s="1479"/>
      <c r="K9" s="1479"/>
      <c r="L9" s="1479"/>
      <c r="M9" s="1480"/>
      <c r="N9" s="604"/>
      <c r="O9" s="1530"/>
      <c r="P9" s="1531"/>
      <c r="Q9" s="1531"/>
      <c r="R9" s="1531"/>
      <c r="S9" s="1531"/>
      <c r="T9" s="1531"/>
      <c r="U9" s="1531"/>
      <c r="V9" s="1531"/>
      <c r="W9" s="1531"/>
      <c r="X9" s="1531"/>
      <c r="Y9" s="1532"/>
      <c r="Z9" s="600"/>
      <c r="AB9" s="883" t="s">
        <v>1444</v>
      </c>
      <c r="AC9" s="883" t="s">
        <v>1496</v>
      </c>
    </row>
    <row r="10" spans="1:31" s="7" customFormat="1" ht="18.95" customHeight="1">
      <c r="A10" s="736">
        <v>1</v>
      </c>
      <c r="B10" s="902" t="s">
        <v>368</v>
      </c>
      <c r="C10" s="569">
        <f>SUM('107 (a)'!C10*1.1)</f>
        <v>17.600000000000001</v>
      </c>
      <c r="D10" s="569">
        <f>SUM('107 (a)'!D10*1.1)</f>
        <v>15.400000000000002</v>
      </c>
      <c r="E10" s="569">
        <f>SUM('107 (a)'!E10*1.1)</f>
        <v>6.6000000000000005</v>
      </c>
      <c r="F10" s="569">
        <f>SUM('107 (a)'!F10*1.1)</f>
        <v>8.8000000000000007</v>
      </c>
      <c r="G10" s="569">
        <f>SUM('107 (a)'!G10*1.1)</f>
        <v>48.400000000000006</v>
      </c>
      <c r="H10" s="569">
        <f>SUM('107 (a)'!H10*1.1)</f>
        <v>12.100000000000001</v>
      </c>
      <c r="I10" s="569">
        <f>SUM('107 (a)'!I10*1.1)</f>
        <v>60.500000000000007</v>
      </c>
      <c r="J10" s="569">
        <f>SUM('107 (a)'!J10*1.1)</f>
        <v>0</v>
      </c>
      <c r="K10" s="569">
        <f>SUM('107 (a)'!K10*1.1)</f>
        <v>0</v>
      </c>
      <c r="L10" s="565">
        <f>J10+K10</f>
        <v>0</v>
      </c>
      <c r="M10" s="565">
        <f>I10+L10</f>
        <v>60.500000000000007</v>
      </c>
      <c r="N10" s="604"/>
      <c r="O10" s="569">
        <f>SUM('107 (a)'!O10*1.1)</f>
        <v>0</v>
      </c>
      <c r="P10" s="569">
        <f>SUM('107 (a)'!P10*1.1)</f>
        <v>0</v>
      </c>
      <c r="Q10" s="569">
        <f>SUM('107 (a)'!Q10*1.1)</f>
        <v>0</v>
      </c>
      <c r="R10" s="569">
        <f>SUM('107 (a)'!R10*1.1)</f>
        <v>0</v>
      </c>
      <c r="S10" s="569">
        <f>SUM('107 (a)'!S10*1.1)</f>
        <v>0</v>
      </c>
      <c r="T10" s="569">
        <f>SUM('107 (a)'!T10*1.1)</f>
        <v>0</v>
      </c>
      <c r="U10" s="565">
        <f>+O10+P10+Q10+R10+T10</f>
        <v>0</v>
      </c>
      <c r="V10" s="569"/>
      <c r="W10" s="566"/>
      <c r="X10" s="565">
        <f>V10+W10</f>
        <v>0</v>
      </c>
      <c r="Y10" s="565">
        <f>U10+X10</f>
        <v>0</v>
      </c>
      <c r="Z10" s="601">
        <f>Y10+M10</f>
        <v>60.500000000000007</v>
      </c>
      <c r="AB10" s="886"/>
      <c r="AC10" s="886"/>
      <c r="AD10" s="7">
        <f>1+3+6+2</f>
        <v>12</v>
      </c>
      <c r="AE10" s="7" t="s">
        <v>1403</v>
      </c>
    </row>
    <row r="11" spans="1:31" s="7" customFormat="1" ht="28.5">
      <c r="A11" s="736">
        <v>2</v>
      </c>
      <c r="B11" s="902" t="s">
        <v>1309</v>
      </c>
      <c r="C11" s="569">
        <f>SUM('107 (a)'!C11*1.1)</f>
        <v>52.800000000000004</v>
      </c>
      <c r="D11" s="569">
        <f>SUM('107 (a)'!D11*1.1)</f>
        <v>49.500000000000007</v>
      </c>
      <c r="E11" s="569">
        <f>SUM('107 (a)'!E11*1.1)</f>
        <v>48.400000000000006</v>
      </c>
      <c r="F11" s="569">
        <f>SUM('107 (a)'!F11*1.1)</f>
        <v>0</v>
      </c>
      <c r="G11" s="569">
        <f>SUM('107 (a)'!G11*1.1)</f>
        <v>150.70000000000002</v>
      </c>
      <c r="H11" s="569">
        <f>SUM('107 (a)'!H11*1.1)</f>
        <v>90.2</v>
      </c>
      <c r="I11" s="569">
        <f>SUM('107 (a)'!I11*1.1)</f>
        <v>240.9</v>
      </c>
      <c r="J11" s="569">
        <f>SUM('107 (a)'!J11*1.1)</f>
        <v>28.6</v>
      </c>
      <c r="K11" s="569">
        <f>SUM('107 (a)'!K11*1.1)</f>
        <v>3.3000000000000003</v>
      </c>
      <c r="L11" s="565">
        <f>J11+K11</f>
        <v>31.900000000000002</v>
      </c>
      <c r="M11" s="565">
        <f>I11+L11</f>
        <v>272.8</v>
      </c>
      <c r="N11" s="604"/>
      <c r="O11" s="569">
        <f>SUM('107 (a)'!O11*1.1)</f>
        <v>64.900000000000006</v>
      </c>
      <c r="P11" s="569">
        <f>SUM('107 (a)'!P11*1.1)</f>
        <v>44</v>
      </c>
      <c r="Q11" s="569">
        <f>SUM('107 (a)'!Q11*1.1)</f>
        <v>39.6</v>
      </c>
      <c r="R11" s="569">
        <f>SUM('107 (a)'!R11*1.1)</f>
        <v>0</v>
      </c>
      <c r="S11" s="569">
        <f>SUM('107 (a)'!S11*1.1)</f>
        <v>148.5</v>
      </c>
      <c r="T11" s="569">
        <f>SUM('107 (a)'!T11*1.1)</f>
        <v>0</v>
      </c>
      <c r="U11" s="565">
        <f t="shared" ref="U11:U19" si="0">+O11+P11+Q11+R11+T11</f>
        <v>148.5</v>
      </c>
      <c r="V11" s="570"/>
      <c r="W11" s="567"/>
      <c r="X11" s="565">
        <f>V11+W11</f>
        <v>0</v>
      </c>
      <c r="Y11" s="565">
        <f>U11+X11</f>
        <v>148.5</v>
      </c>
      <c r="Z11" s="601">
        <f>Y11+M11</f>
        <v>421.3</v>
      </c>
      <c r="AB11" s="886">
        <f>52700*2-500</f>
        <v>104900</v>
      </c>
      <c r="AC11" s="886"/>
    </row>
    <row r="12" spans="1:31" s="7" customFormat="1" ht="18.95" customHeight="1">
      <c r="A12" s="736">
        <v>3</v>
      </c>
      <c r="B12" s="902" t="s">
        <v>380</v>
      </c>
      <c r="C12" s="569">
        <f>SUM('107 (a)'!C12*1.1)</f>
        <v>34.1</v>
      </c>
      <c r="D12" s="569">
        <f>SUM('107 (a)'!D12*1.1)</f>
        <v>36.300000000000004</v>
      </c>
      <c r="E12" s="569">
        <f>SUM('107 (a)'!E12*1.1)</f>
        <v>0</v>
      </c>
      <c r="F12" s="569">
        <f>SUM('107 (a)'!F12*1.1)</f>
        <v>0</v>
      </c>
      <c r="G12" s="569">
        <f>SUM('107 (a)'!G12*1.1)</f>
        <v>70.400000000000006</v>
      </c>
      <c r="H12" s="569">
        <f>SUM('107 (a)'!H12*1.1)</f>
        <v>30.800000000000004</v>
      </c>
      <c r="I12" s="569">
        <f>SUM('107 (a)'!I12*1.1)</f>
        <v>101.2</v>
      </c>
      <c r="J12" s="569">
        <f>SUM('107 (a)'!J12*1.1)</f>
        <v>23.1</v>
      </c>
      <c r="K12" s="569">
        <f>SUM('107 (a)'!K12*1.1)</f>
        <v>18.700000000000003</v>
      </c>
      <c r="L12" s="565">
        <f>J12+K12</f>
        <v>41.800000000000004</v>
      </c>
      <c r="M12" s="565">
        <f>I12+L12</f>
        <v>143</v>
      </c>
      <c r="N12" s="604"/>
      <c r="O12" s="569">
        <f>SUM('107 (a)'!O12*1.1)</f>
        <v>0</v>
      </c>
      <c r="P12" s="569">
        <f>SUM('107 (a)'!P12*1.1)</f>
        <v>0</v>
      </c>
      <c r="Q12" s="569">
        <f>SUM('107 (a)'!Q12*1.1)</f>
        <v>0</v>
      </c>
      <c r="R12" s="569">
        <f>SUM('107 (a)'!R12*1.1)</f>
        <v>0</v>
      </c>
      <c r="S12" s="569">
        <f>SUM('107 (a)'!S12*1.1)</f>
        <v>0</v>
      </c>
      <c r="T12" s="569">
        <f>SUM('107 (a)'!T12*1.1)</f>
        <v>0</v>
      </c>
      <c r="U12" s="565">
        <f t="shared" si="0"/>
        <v>0</v>
      </c>
      <c r="V12" s="570"/>
      <c r="W12" s="567"/>
      <c r="X12" s="565">
        <f>V12+W12</f>
        <v>0</v>
      </c>
      <c r="Y12" s="565">
        <f>U12+X12</f>
        <v>0</v>
      </c>
      <c r="Z12" s="601">
        <f>Y12+M12</f>
        <v>143</v>
      </c>
      <c r="AB12" s="886"/>
      <c r="AC12" s="886"/>
    </row>
    <row r="13" spans="1:31" s="7" customFormat="1" ht="18.95" customHeight="1">
      <c r="A13" s="736">
        <v>4</v>
      </c>
      <c r="B13" s="902" t="s">
        <v>1171</v>
      </c>
      <c r="C13" s="569">
        <f>SUM('107 (a)'!C13*1.1)</f>
        <v>42.900000000000006</v>
      </c>
      <c r="D13" s="569">
        <f>SUM('107 (a)'!D13*1.1)</f>
        <v>48.400000000000006</v>
      </c>
      <c r="E13" s="569">
        <f>SUM('107 (a)'!E13*1.1)</f>
        <v>18.700000000000003</v>
      </c>
      <c r="F13" s="569">
        <f>SUM('107 (a)'!F13*1.1)</f>
        <v>40.700000000000003</v>
      </c>
      <c r="G13" s="569">
        <f>SUM('107 (a)'!G13*1.1)</f>
        <v>150.70000000000002</v>
      </c>
      <c r="H13" s="569">
        <f>SUM('107 (a)'!H13*1.1)</f>
        <v>88</v>
      </c>
      <c r="I13" s="569">
        <f>SUM('107 (a)'!I13*1.1)</f>
        <v>238.70000000000002</v>
      </c>
      <c r="J13" s="569">
        <f>SUM('107 (a)'!J13*1.1)</f>
        <v>7.7000000000000011</v>
      </c>
      <c r="K13" s="569">
        <f>SUM('107 (a)'!K13*1.1)</f>
        <v>20.900000000000002</v>
      </c>
      <c r="L13" s="565">
        <f t="shared" ref="L13:L19" si="1">J13+K13</f>
        <v>28.6</v>
      </c>
      <c r="M13" s="565">
        <f t="shared" ref="M13:M19" si="2">I13+L13</f>
        <v>267.3</v>
      </c>
      <c r="N13" s="604"/>
      <c r="O13" s="569">
        <f>SUM('107 (a)'!O13*1.1)</f>
        <v>0</v>
      </c>
      <c r="P13" s="569">
        <f>SUM('107 (a)'!P13*1.1)</f>
        <v>0</v>
      </c>
      <c r="Q13" s="569">
        <f>SUM('107 (a)'!Q13*1.1)</f>
        <v>0</v>
      </c>
      <c r="R13" s="569">
        <f>SUM('107 (a)'!R13*1.1)</f>
        <v>0</v>
      </c>
      <c r="S13" s="569">
        <f>SUM('107 (a)'!S13*1.1)</f>
        <v>0</v>
      </c>
      <c r="T13" s="569">
        <f>SUM('107 (a)'!T13*1.1)</f>
        <v>0</v>
      </c>
      <c r="U13" s="565">
        <f t="shared" si="0"/>
        <v>0</v>
      </c>
      <c r="V13" s="570"/>
      <c r="W13" s="567"/>
      <c r="X13" s="565">
        <f t="shared" ref="X13:X19" si="3">V13+W13</f>
        <v>0</v>
      </c>
      <c r="Y13" s="565">
        <f t="shared" ref="Y13:Y19" si="4">U13+X13</f>
        <v>0</v>
      </c>
      <c r="Z13" s="601">
        <f t="shared" ref="Z13:Z19" si="5">Y13+M13</f>
        <v>267.3</v>
      </c>
      <c r="AB13" s="886"/>
      <c r="AC13" s="886"/>
      <c r="AD13" s="7">
        <f>55+25</f>
        <v>80</v>
      </c>
      <c r="AE13" s="7" t="s">
        <v>1347</v>
      </c>
    </row>
    <row r="14" spans="1:31" s="7" customFormat="1" ht="18.95" customHeight="1">
      <c r="A14" s="736">
        <v>5</v>
      </c>
      <c r="B14" s="902" t="s">
        <v>1311</v>
      </c>
      <c r="C14" s="569">
        <f>SUM('107 (a)'!C14*1.1)</f>
        <v>46.2</v>
      </c>
      <c r="D14" s="569">
        <f>SUM('107 (a)'!D14*1.1)</f>
        <v>39.6</v>
      </c>
      <c r="E14" s="569">
        <f>SUM('107 (a)'!E14*1.1)</f>
        <v>13.200000000000001</v>
      </c>
      <c r="F14" s="569">
        <f>SUM('107 (a)'!F14*1.1)</f>
        <v>0</v>
      </c>
      <c r="G14" s="569">
        <f>SUM('107 (a)'!G14*1.1)</f>
        <v>99.000000000000014</v>
      </c>
      <c r="H14" s="569">
        <f>SUM('107 (a)'!H14*1.1)</f>
        <v>130.9</v>
      </c>
      <c r="I14" s="569">
        <f>SUM('107 (a)'!I14*1.1)</f>
        <v>229.9</v>
      </c>
      <c r="J14" s="569">
        <f>SUM('107 (a)'!J14*1.1)</f>
        <v>25.3</v>
      </c>
      <c r="K14" s="569">
        <f>SUM('107 (a)'!K14*1.1)</f>
        <v>7.7000000000000011</v>
      </c>
      <c r="L14" s="565">
        <f t="shared" si="1"/>
        <v>33</v>
      </c>
      <c r="M14" s="565">
        <f t="shared" si="2"/>
        <v>262.89999999999998</v>
      </c>
      <c r="N14" s="604"/>
      <c r="O14" s="569">
        <f>SUM('107 (a)'!O14*1.1)</f>
        <v>0</v>
      </c>
      <c r="P14" s="569">
        <f>SUM('107 (a)'!P14*1.1)</f>
        <v>0</v>
      </c>
      <c r="Q14" s="569">
        <f>SUM('107 (a)'!Q14*1.1)</f>
        <v>0</v>
      </c>
      <c r="R14" s="569">
        <f>SUM('107 (a)'!R14*1.1)</f>
        <v>0</v>
      </c>
      <c r="S14" s="569">
        <f>SUM('107 (a)'!S14*1.1)</f>
        <v>0</v>
      </c>
      <c r="T14" s="569">
        <f>SUM('107 (a)'!T14*1.1)</f>
        <v>0</v>
      </c>
      <c r="U14" s="565">
        <f t="shared" si="0"/>
        <v>0</v>
      </c>
      <c r="V14" s="570"/>
      <c r="W14" s="567"/>
      <c r="X14" s="565">
        <f t="shared" si="3"/>
        <v>0</v>
      </c>
      <c r="Y14" s="565">
        <f t="shared" si="4"/>
        <v>0</v>
      </c>
      <c r="Z14" s="601">
        <f t="shared" si="5"/>
        <v>262.89999999999998</v>
      </c>
      <c r="AB14" s="886"/>
      <c r="AC14" s="886"/>
      <c r="AD14" s="7">
        <f>30+89</f>
        <v>119</v>
      </c>
      <c r="AE14" s="7" t="s">
        <v>1347</v>
      </c>
    </row>
    <row r="15" spans="1:31" s="7" customFormat="1" ht="18.95" customHeight="1">
      <c r="A15" s="736">
        <v>6</v>
      </c>
      <c r="B15" s="902" t="s">
        <v>403</v>
      </c>
      <c r="C15" s="569">
        <f>SUM('107 (a)'!C15*1.1)</f>
        <v>0</v>
      </c>
      <c r="D15" s="569">
        <f>SUM('107 (a)'!D15*1.1)</f>
        <v>0</v>
      </c>
      <c r="E15" s="569">
        <f>SUM('107 (a)'!E15*1.1)</f>
        <v>0</v>
      </c>
      <c r="F15" s="569">
        <f>SUM('107 (a)'!F15*1.1)</f>
        <v>0</v>
      </c>
      <c r="G15" s="569">
        <f>SUM('107 (a)'!G15*1.1)</f>
        <v>0</v>
      </c>
      <c r="H15" s="569">
        <f>SUM('107 (a)'!H15*1.1)</f>
        <v>31.900000000000002</v>
      </c>
      <c r="I15" s="569">
        <f>SUM('107 (a)'!I15*1.1)</f>
        <v>31.900000000000002</v>
      </c>
      <c r="J15" s="569">
        <f>SUM('107 (a)'!J15*1.1)</f>
        <v>39.6</v>
      </c>
      <c r="K15" s="569">
        <f>SUM('107 (a)'!K15*1.1)</f>
        <v>20.900000000000002</v>
      </c>
      <c r="L15" s="565">
        <f t="shared" si="1"/>
        <v>60.5</v>
      </c>
      <c r="M15" s="565">
        <f t="shared" si="2"/>
        <v>92.4</v>
      </c>
      <c r="N15" s="604"/>
      <c r="O15" s="569">
        <f>SUM('107 (a)'!O15*1.1)</f>
        <v>0</v>
      </c>
      <c r="P15" s="569">
        <f>SUM('107 (a)'!P15*1.1)</f>
        <v>0</v>
      </c>
      <c r="Q15" s="569">
        <f>SUM('107 (a)'!Q15*1.1)</f>
        <v>0</v>
      </c>
      <c r="R15" s="569">
        <f>SUM('107 (a)'!R15*1.1)</f>
        <v>0</v>
      </c>
      <c r="S15" s="569">
        <f>SUM('107 (a)'!S15*1.1)</f>
        <v>0</v>
      </c>
      <c r="T15" s="569">
        <f>SUM('107 (a)'!T15*1.1)</f>
        <v>0</v>
      </c>
      <c r="U15" s="565">
        <f t="shared" si="0"/>
        <v>0</v>
      </c>
      <c r="V15" s="570"/>
      <c r="W15" s="567"/>
      <c r="X15" s="565">
        <f t="shared" si="3"/>
        <v>0</v>
      </c>
      <c r="Y15" s="565">
        <f t="shared" si="4"/>
        <v>0</v>
      </c>
      <c r="Z15" s="601">
        <f t="shared" si="5"/>
        <v>92.4</v>
      </c>
      <c r="AB15" s="886"/>
      <c r="AC15" s="886"/>
    </row>
    <row r="16" spans="1:31" s="7" customFormat="1" ht="18.95" customHeight="1">
      <c r="A16" s="736">
        <v>7</v>
      </c>
      <c r="B16" s="902" t="s">
        <v>421</v>
      </c>
      <c r="C16" s="569">
        <f>SUM('107 (a)'!C16*1.1)</f>
        <v>0</v>
      </c>
      <c r="D16" s="569">
        <f>SUM('107 (a)'!D16*1.1)</f>
        <v>0</v>
      </c>
      <c r="E16" s="569">
        <f>SUM('107 (a)'!E16*1.1)</f>
        <v>0</v>
      </c>
      <c r="F16" s="569">
        <f>SUM('107 (a)'!F16*1.1)</f>
        <v>0</v>
      </c>
      <c r="G16" s="569">
        <f>SUM('107 (a)'!G16*1.1)</f>
        <v>0</v>
      </c>
      <c r="H16" s="569">
        <f>SUM('107 (a)'!H16*1.1)</f>
        <v>4.4000000000000004</v>
      </c>
      <c r="I16" s="569">
        <f>SUM('107 (a)'!I16*1.1)</f>
        <v>4.4000000000000004</v>
      </c>
      <c r="J16" s="569">
        <f>SUM('107 (a)'!J16*1.1)</f>
        <v>6.6000000000000005</v>
      </c>
      <c r="K16" s="569">
        <f>SUM('107 (a)'!K16*1.1)</f>
        <v>4.4000000000000004</v>
      </c>
      <c r="L16" s="565">
        <f t="shared" si="1"/>
        <v>11</v>
      </c>
      <c r="M16" s="565">
        <f t="shared" si="2"/>
        <v>15.4</v>
      </c>
      <c r="N16" s="604"/>
      <c r="O16" s="569">
        <f>SUM('107 (a)'!O16*1.1)</f>
        <v>0</v>
      </c>
      <c r="P16" s="569">
        <f>SUM('107 (a)'!P16*1.1)</f>
        <v>0</v>
      </c>
      <c r="Q16" s="569">
        <f>SUM('107 (a)'!Q16*1.1)</f>
        <v>0</v>
      </c>
      <c r="R16" s="569">
        <f>SUM('107 (a)'!R16*1.1)</f>
        <v>0</v>
      </c>
      <c r="S16" s="569">
        <f>SUM('107 (a)'!S16*1.1)</f>
        <v>0</v>
      </c>
      <c r="T16" s="569">
        <f>SUM('107 (a)'!T16*1.1)</f>
        <v>0</v>
      </c>
      <c r="U16" s="565">
        <f t="shared" si="0"/>
        <v>0</v>
      </c>
      <c r="V16" s="570"/>
      <c r="W16" s="567"/>
      <c r="X16" s="565">
        <f t="shared" si="3"/>
        <v>0</v>
      </c>
      <c r="Y16" s="565">
        <f t="shared" si="4"/>
        <v>0</v>
      </c>
      <c r="Z16" s="601">
        <f t="shared" si="5"/>
        <v>15.4</v>
      </c>
      <c r="AB16" s="886"/>
      <c r="AC16" s="886"/>
      <c r="AD16" s="7">
        <v>4</v>
      </c>
      <c r="AE16" s="7" t="s">
        <v>1347</v>
      </c>
    </row>
    <row r="17" spans="1:35" s="7" customFormat="1" ht="18.95" customHeight="1">
      <c r="A17" s="736">
        <v>8</v>
      </c>
      <c r="B17" s="902" t="s">
        <v>419</v>
      </c>
      <c r="C17" s="569">
        <f>SUM('107 (a)'!C17*1.1)</f>
        <v>0</v>
      </c>
      <c r="D17" s="569">
        <f>SUM('107 (a)'!D17*1.1)</f>
        <v>0</v>
      </c>
      <c r="E17" s="569">
        <f>SUM('107 (a)'!E17*1.1)</f>
        <v>0</v>
      </c>
      <c r="F17" s="569">
        <f>SUM('107 (a)'!F17*1.1)</f>
        <v>0</v>
      </c>
      <c r="G17" s="569">
        <f>SUM('107 (a)'!G17*1.1)</f>
        <v>0</v>
      </c>
      <c r="H17" s="569">
        <f>SUM('107 (a)'!H17*1.1)</f>
        <v>30.800000000000004</v>
      </c>
      <c r="I17" s="569">
        <f>SUM('107 (a)'!I17*1.1)</f>
        <v>30.800000000000004</v>
      </c>
      <c r="J17" s="569">
        <f>SUM('107 (a)'!J17*1.1)</f>
        <v>25.3</v>
      </c>
      <c r="K17" s="569">
        <f>SUM('107 (a)'!K17*1.1)</f>
        <v>34.1</v>
      </c>
      <c r="L17" s="565">
        <f>J17+K17</f>
        <v>59.400000000000006</v>
      </c>
      <c r="M17" s="565">
        <f>I17+L17</f>
        <v>90.200000000000017</v>
      </c>
      <c r="N17" s="604"/>
      <c r="O17" s="569">
        <f>SUM('107 (a)'!O17*1.1)</f>
        <v>0</v>
      </c>
      <c r="P17" s="569">
        <f>SUM('107 (a)'!P17*1.1)</f>
        <v>0</v>
      </c>
      <c r="Q17" s="569">
        <f>SUM('107 (a)'!Q17*1.1)</f>
        <v>0</v>
      </c>
      <c r="R17" s="569">
        <f>SUM('107 (a)'!R17*1.1)</f>
        <v>0</v>
      </c>
      <c r="S17" s="569">
        <f>SUM('107 (a)'!S17*1.1)</f>
        <v>0</v>
      </c>
      <c r="T17" s="569">
        <f>SUM('107 (a)'!T17*1.1)</f>
        <v>0</v>
      </c>
      <c r="U17" s="565">
        <f t="shared" si="0"/>
        <v>0</v>
      </c>
      <c r="V17" s="570"/>
      <c r="W17" s="567"/>
      <c r="X17" s="565">
        <f>V17+W17</f>
        <v>0</v>
      </c>
      <c r="Y17" s="565">
        <f>U17+X17</f>
        <v>0</v>
      </c>
      <c r="Z17" s="601">
        <f>Y17+M17</f>
        <v>90.200000000000017</v>
      </c>
      <c r="AB17" s="886"/>
      <c r="AC17" s="886"/>
    </row>
    <row r="18" spans="1:35" s="7" customFormat="1" ht="18.95" customHeight="1">
      <c r="A18" s="736">
        <v>9</v>
      </c>
      <c r="B18" s="902" t="s">
        <v>1407</v>
      </c>
      <c r="C18" s="569">
        <f>SUM('107 (a)'!C18*1.1)</f>
        <v>0</v>
      </c>
      <c r="D18" s="569">
        <f>SUM('107 (a)'!D18*1.1)</f>
        <v>0</v>
      </c>
      <c r="E18" s="569">
        <f>SUM('107 (a)'!E18*1.1)</f>
        <v>0</v>
      </c>
      <c r="F18" s="569">
        <f>SUM('107 (a)'!F18*1.1)</f>
        <v>0</v>
      </c>
      <c r="G18" s="569">
        <f>SUM('107 (a)'!G18*1.1)</f>
        <v>0</v>
      </c>
      <c r="H18" s="569">
        <f>SUM('107 (a)'!H18*1.1)</f>
        <v>0</v>
      </c>
      <c r="I18" s="569">
        <f>SUM('107 (a)'!I18*1.1)</f>
        <v>0</v>
      </c>
      <c r="J18" s="569">
        <f>SUM('107 (a)'!J18*1.1)</f>
        <v>22</v>
      </c>
      <c r="K18" s="569">
        <f>SUM('107 (a)'!K18*1.1)</f>
        <v>7.7000000000000011</v>
      </c>
      <c r="L18" s="565">
        <f>J18+K18</f>
        <v>29.700000000000003</v>
      </c>
      <c r="M18" s="565">
        <f>I18+L18</f>
        <v>29.700000000000003</v>
      </c>
      <c r="N18" s="604"/>
      <c r="O18" s="569">
        <f>SUM('107 (a)'!O18*1.1)</f>
        <v>0</v>
      </c>
      <c r="P18" s="569">
        <f>SUM('107 (a)'!P18*1.1)</f>
        <v>0</v>
      </c>
      <c r="Q18" s="569">
        <f>SUM('107 (a)'!Q18*1.1)</f>
        <v>0</v>
      </c>
      <c r="R18" s="569">
        <f>SUM('107 (a)'!R18*1.1)</f>
        <v>0</v>
      </c>
      <c r="S18" s="569">
        <f>SUM('107 (a)'!S18*1.1)</f>
        <v>0</v>
      </c>
      <c r="T18" s="569">
        <f>SUM('107 (a)'!T18*1.1)</f>
        <v>0</v>
      </c>
      <c r="U18" s="565">
        <f t="shared" si="0"/>
        <v>0</v>
      </c>
      <c r="V18" s="570"/>
      <c r="W18" s="567"/>
      <c r="X18" s="565">
        <f>V18+W18</f>
        <v>0</v>
      </c>
      <c r="Y18" s="565">
        <f>U18+X18</f>
        <v>0</v>
      </c>
      <c r="Z18" s="601">
        <f>Y18+M18</f>
        <v>29.700000000000003</v>
      </c>
      <c r="AB18" s="886"/>
      <c r="AC18" s="886"/>
    </row>
    <row r="19" spans="1:35" s="7" customFormat="1" ht="18.95" customHeight="1">
      <c r="A19" s="736">
        <v>10</v>
      </c>
      <c r="B19" s="902" t="s">
        <v>394</v>
      </c>
      <c r="C19" s="569">
        <f>SUM('107 (a)'!C19*1.1)</f>
        <v>0</v>
      </c>
      <c r="D19" s="569">
        <f>SUM('107 (a)'!D19*1.1)</f>
        <v>0</v>
      </c>
      <c r="E19" s="569">
        <f>SUM('107 (a)'!E19*1.1)</f>
        <v>0</v>
      </c>
      <c r="F19" s="569">
        <f>SUM('107 (a)'!F19*1.1)</f>
        <v>0</v>
      </c>
      <c r="G19" s="569">
        <f>SUM('107 (a)'!G19*1.1)</f>
        <v>0</v>
      </c>
      <c r="H19" s="569">
        <f>SUM('107 (a)'!H19*1.1)</f>
        <v>0</v>
      </c>
      <c r="I19" s="569">
        <f>SUM('107 (a)'!I19*1.1)</f>
        <v>0</v>
      </c>
      <c r="J19" s="569">
        <f>SUM('107 (a)'!J19*1.1)</f>
        <v>0</v>
      </c>
      <c r="K19" s="569">
        <f>SUM('107 (a)'!K19*1.1)</f>
        <v>15.400000000000002</v>
      </c>
      <c r="L19" s="565">
        <f t="shared" si="1"/>
        <v>15.400000000000002</v>
      </c>
      <c r="M19" s="565">
        <f t="shared" si="2"/>
        <v>15.400000000000002</v>
      </c>
      <c r="N19" s="604"/>
      <c r="O19" s="569">
        <f>SUM('107 (a)'!O19*1.1)</f>
        <v>0</v>
      </c>
      <c r="P19" s="569">
        <f>SUM('107 (a)'!P19*1.1)</f>
        <v>0</v>
      </c>
      <c r="Q19" s="569">
        <f>SUM('107 (a)'!Q19*1.1)</f>
        <v>0</v>
      </c>
      <c r="R19" s="569">
        <f>SUM('107 (a)'!R19*1.1)</f>
        <v>0</v>
      </c>
      <c r="S19" s="569">
        <f>SUM('107 (a)'!S19*1.1)</f>
        <v>0</v>
      </c>
      <c r="T19" s="569">
        <f>SUM('107 (a)'!T19*1.1)</f>
        <v>0</v>
      </c>
      <c r="U19" s="565">
        <f t="shared" si="0"/>
        <v>0</v>
      </c>
      <c r="V19" s="570"/>
      <c r="W19" s="567"/>
      <c r="X19" s="565">
        <f t="shared" si="3"/>
        <v>0</v>
      </c>
      <c r="Y19" s="565">
        <f t="shared" si="4"/>
        <v>0</v>
      </c>
      <c r="Z19" s="601">
        <f t="shared" si="5"/>
        <v>15.400000000000002</v>
      </c>
      <c r="AB19" s="886"/>
      <c r="AC19" s="886"/>
    </row>
    <row r="20" spans="1:35" ht="20.100000000000001" customHeight="1">
      <c r="A20" s="1521" t="s">
        <v>752</v>
      </c>
      <c r="B20" s="1522"/>
      <c r="C20" s="856">
        <f>SUM(C10:C19)</f>
        <v>193.60000000000002</v>
      </c>
      <c r="D20" s="856">
        <f t="shared" ref="D20:Z20" si="6">SUM(D10:D19)</f>
        <v>189.20000000000002</v>
      </c>
      <c r="E20" s="856">
        <f t="shared" si="6"/>
        <v>86.90000000000002</v>
      </c>
      <c r="F20" s="856">
        <f t="shared" si="6"/>
        <v>49.5</v>
      </c>
      <c r="G20" s="856">
        <f t="shared" si="6"/>
        <v>519.20000000000005</v>
      </c>
      <c r="H20" s="856">
        <f t="shared" si="6"/>
        <v>419.09999999999997</v>
      </c>
      <c r="I20" s="856">
        <f t="shared" si="6"/>
        <v>938.3</v>
      </c>
      <c r="J20" s="856">
        <f t="shared" si="6"/>
        <v>178.20000000000002</v>
      </c>
      <c r="K20" s="856">
        <f t="shared" si="6"/>
        <v>133.10000000000002</v>
      </c>
      <c r="L20" s="856">
        <f t="shared" si="6"/>
        <v>311.3</v>
      </c>
      <c r="M20" s="856">
        <f>+L20+I20</f>
        <v>1249.5999999999999</v>
      </c>
      <c r="N20" s="856">
        <f t="shared" si="6"/>
        <v>0</v>
      </c>
      <c r="O20" s="856">
        <f t="shared" si="6"/>
        <v>64.900000000000006</v>
      </c>
      <c r="P20" s="856">
        <f t="shared" si="6"/>
        <v>44</v>
      </c>
      <c r="Q20" s="856">
        <f t="shared" si="6"/>
        <v>39.6</v>
      </c>
      <c r="R20" s="856">
        <f t="shared" si="6"/>
        <v>0</v>
      </c>
      <c r="S20" s="856"/>
      <c r="T20" s="856">
        <f t="shared" si="6"/>
        <v>0</v>
      </c>
      <c r="U20" s="856">
        <f t="shared" si="6"/>
        <v>148.5</v>
      </c>
      <c r="V20" s="856">
        <f t="shared" si="6"/>
        <v>0</v>
      </c>
      <c r="W20" s="856">
        <f t="shared" si="6"/>
        <v>0</v>
      </c>
      <c r="X20" s="856">
        <f t="shared" si="6"/>
        <v>0</v>
      </c>
      <c r="Y20" s="856">
        <f t="shared" si="6"/>
        <v>148.5</v>
      </c>
      <c r="Z20" s="856">
        <f t="shared" si="6"/>
        <v>1398.1000000000004</v>
      </c>
      <c r="AI20" s="883">
        <f>+Y20+M20-Z20</f>
        <v>0</v>
      </c>
    </row>
    <row r="21" spans="1:35" ht="15" customHeight="1">
      <c r="A21" s="1478" t="s">
        <v>145</v>
      </c>
      <c r="B21" s="1479"/>
      <c r="C21" s="1479"/>
      <c r="D21" s="1479"/>
      <c r="E21" s="1479"/>
      <c r="F21" s="1479"/>
      <c r="G21" s="1479"/>
      <c r="H21" s="1479"/>
      <c r="I21" s="1479"/>
      <c r="J21" s="1479"/>
      <c r="K21" s="1479"/>
      <c r="L21" s="1479"/>
      <c r="M21" s="1480"/>
      <c r="N21" s="604"/>
      <c r="O21" s="1533"/>
      <c r="P21" s="1534"/>
      <c r="Q21" s="1534"/>
      <c r="R21" s="1534"/>
      <c r="S21" s="1534"/>
      <c r="T21" s="1534"/>
      <c r="U21" s="1534"/>
      <c r="V21" s="1534"/>
      <c r="W21" s="1534"/>
      <c r="X21" s="1534"/>
      <c r="Y21" s="1535"/>
      <c r="Z21" s="600"/>
      <c r="AI21" s="883">
        <f t="shared" ref="AI21:AI84" si="7">+Y21+M21-Z21</f>
        <v>0</v>
      </c>
    </row>
    <row r="22" spans="1:35" s="7" customFormat="1" ht="18.95" customHeight="1">
      <c r="A22" s="908">
        <v>1</v>
      </c>
      <c r="B22" s="904" t="s">
        <v>1315</v>
      </c>
      <c r="C22" s="569">
        <f>SUM('107 (a)'!C22*1.1)</f>
        <v>34.1</v>
      </c>
      <c r="D22" s="569">
        <f>SUM('107 (a)'!D22*1.1)</f>
        <v>38.5</v>
      </c>
      <c r="E22" s="569">
        <f>SUM('107 (a)'!E22*1.1)</f>
        <v>30.800000000000004</v>
      </c>
      <c r="F22" s="569">
        <f>SUM('107 (a)'!F22*1.1)</f>
        <v>20.900000000000002</v>
      </c>
      <c r="G22" s="569">
        <f>SUM('107 (a)'!G22*1.1)</f>
        <v>124.30000000000001</v>
      </c>
      <c r="H22" s="569">
        <f>SUM('107 (a)'!H22*1.1)</f>
        <v>0</v>
      </c>
      <c r="I22" s="569">
        <f>SUM('107 (a)'!I22*1.1)</f>
        <v>124.30000000000001</v>
      </c>
      <c r="J22" s="569">
        <f>SUM('107 (a)'!J22*1.1)</f>
        <v>13.200000000000001</v>
      </c>
      <c r="K22" s="569">
        <f>SUM('107 (a)'!K22*1.1)</f>
        <v>11</v>
      </c>
      <c r="L22" s="565">
        <f t="shared" ref="L22:L30" si="8">J22+K22</f>
        <v>24.200000000000003</v>
      </c>
      <c r="M22" s="565">
        <f t="shared" ref="M22:M30" si="9">I22+L22</f>
        <v>148.5</v>
      </c>
      <c r="N22" s="604"/>
      <c r="O22" s="569">
        <f>SUM('107 (a)'!O22*1.1)</f>
        <v>0</v>
      </c>
      <c r="P22" s="569">
        <f>SUM('107 (a)'!P22*1.1)</f>
        <v>0</v>
      </c>
      <c r="Q22" s="569">
        <f>SUM('107 (a)'!Q22*1.1)</f>
        <v>0</v>
      </c>
      <c r="R22" s="569">
        <f>SUM('107 (a)'!R22*1.1)</f>
        <v>0</v>
      </c>
      <c r="S22" s="569">
        <f>SUM('107 (a)'!S22*1.1)</f>
        <v>0</v>
      </c>
      <c r="T22" s="569">
        <f>SUM('107 (a)'!T22*1.1)</f>
        <v>0</v>
      </c>
      <c r="U22" s="565">
        <f t="shared" ref="U22:U35" si="10">+O22+P22+Q22+R22+T22</f>
        <v>0</v>
      </c>
      <c r="V22" s="569"/>
      <c r="W22" s="566"/>
      <c r="X22" s="565">
        <f t="shared" ref="X22:X30" si="11">V22+W22</f>
        <v>0</v>
      </c>
      <c r="Y22" s="565">
        <f t="shared" ref="Y22:Y30" si="12">U22+X22</f>
        <v>0</v>
      </c>
      <c r="Z22" s="601">
        <f t="shared" ref="Z22:Z30" si="13">Y22+M22</f>
        <v>148.5</v>
      </c>
      <c r="AB22" s="886"/>
      <c r="AC22" s="886"/>
      <c r="AI22" s="883">
        <f t="shared" si="7"/>
        <v>0</v>
      </c>
    </row>
    <row r="23" spans="1:35" s="7" customFormat="1" ht="18.95" customHeight="1">
      <c r="A23" s="908">
        <v>2</v>
      </c>
      <c r="B23" s="904" t="s">
        <v>383</v>
      </c>
      <c r="C23" s="569">
        <f>SUM('107 (a)'!C23*1.1)</f>
        <v>77</v>
      </c>
      <c r="D23" s="569">
        <f>SUM('107 (a)'!D23*1.1)</f>
        <v>73.7</v>
      </c>
      <c r="E23" s="569">
        <f>SUM('107 (a)'!E23*1.1)</f>
        <v>50.6</v>
      </c>
      <c r="F23" s="569">
        <f>SUM('107 (a)'!F23*1.1)</f>
        <v>46.2</v>
      </c>
      <c r="G23" s="569">
        <f>SUM('107 (a)'!G23*1.1)</f>
        <v>247.50000000000003</v>
      </c>
      <c r="H23" s="569">
        <f>SUM('107 (a)'!H23*1.1)</f>
        <v>133.10000000000002</v>
      </c>
      <c r="I23" s="569">
        <f>SUM('107 (a)'!I23*1.1)</f>
        <v>380.6</v>
      </c>
      <c r="J23" s="569">
        <f>SUM('107 (a)'!J23*1.1)</f>
        <v>24.200000000000003</v>
      </c>
      <c r="K23" s="569">
        <f>SUM('107 (a)'!K23*1.1)</f>
        <v>13.200000000000001</v>
      </c>
      <c r="L23" s="565">
        <f t="shared" si="8"/>
        <v>37.400000000000006</v>
      </c>
      <c r="M23" s="565">
        <f t="shared" si="9"/>
        <v>418</v>
      </c>
      <c r="N23" s="604"/>
      <c r="O23" s="569">
        <f>SUM('107 (a)'!O23*1.1)</f>
        <v>77</v>
      </c>
      <c r="P23" s="569">
        <f>SUM('107 (a)'!P23*1.1)</f>
        <v>68.2</v>
      </c>
      <c r="Q23" s="569">
        <f>SUM('107 (a)'!Q23*1.1)</f>
        <v>56.1</v>
      </c>
      <c r="R23" s="569">
        <f>SUM('107 (a)'!R23*1.1)</f>
        <v>50.6</v>
      </c>
      <c r="S23" s="569">
        <f>SUM('107 (a)'!S23*1.1)</f>
        <v>251.90000000000003</v>
      </c>
      <c r="T23" s="569">
        <f>SUM('107 (a)'!T23*1.1)</f>
        <v>0</v>
      </c>
      <c r="U23" s="565">
        <f t="shared" si="10"/>
        <v>251.89999999999998</v>
      </c>
      <c r="V23" s="569"/>
      <c r="W23" s="566"/>
      <c r="X23" s="565">
        <f t="shared" si="11"/>
        <v>0</v>
      </c>
      <c r="Y23" s="565">
        <f t="shared" si="12"/>
        <v>251.89999999999998</v>
      </c>
      <c r="Z23" s="601">
        <f t="shared" si="13"/>
        <v>669.9</v>
      </c>
      <c r="AB23" s="886">
        <f>41700*2-500</f>
        <v>82900</v>
      </c>
      <c r="AC23" s="886"/>
      <c r="AI23" s="883">
        <f t="shared" si="7"/>
        <v>0</v>
      </c>
    </row>
    <row r="24" spans="1:35" s="7" customFormat="1" ht="18.95" customHeight="1">
      <c r="A24" s="908">
        <v>3</v>
      </c>
      <c r="B24" s="904" t="s">
        <v>379</v>
      </c>
      <c r="C24" s="569">
        <f>SUM('107 (a)'!C24*1.1)</f>
        <v>35.200000000000003</v>
      </c>
      <c r="D24" s="569">
        <f>SUM('107 (a)'!D24*1.1)</f>
        <v>16.5</v>
      </c>
      <c r="E24" s="569">
        <f>SUM('107 (a)'!E24*1.1)</f>
        <v>11</v>
      </c>
      <c r="F24" s="569">
        <f>SUM('107 (a)'!F24*1.1)</f>
        <v>12.100000000000001</v>
      </c>
      <c r="G24" s="569">
        <f>SUM('107 (a)'!G24*1.1)</f>
        <v>74.800000000000011</v>
      </c>
      <c r="H24" s="569">
        <f>SUM('107 (a)'!H24*1.1)</f>
        <v>17.600000000000001</v>
      </c>
      <c r="I24" s="569">
        <f>SUM('107 (a)'!I24*1.1)</f>
        <v>92.4</v>
      </c>
      <c r="J24" s="569">
        <f>SUM('107 (a)'!J24*1.1)</f>
        <v>8.8000000000000007</v>
      </c>
      <c r="K24" s="569">
        <f>SUM('107 (a)'!K24*1.1)</f>
        <v>0</v>
      </c>
      <c r="L24" s="565">
        <f t="shared" si="8"/>
        <v>8.8000000000000007</v>
      </c>
      <c r="M24" s="565">
        <f t="shared" si="9"/>
        <v>101.2</v>
      </c>
      <c r="N24" s="604"/>
      <c r="O24" s="569">
        <f>SUM('107 (a)'!O24*1.1)</f>
        <v>0</v>
      </c>
      <c r="P24" s="569">
        <f>SUM('107 (a)'!P24*1.1)</f>
        <v>0</v>
      </c>
      <c r="Q24" s="569">
        <f>SUM('107 (a)'!Q24*1.1)</f>
        <v>0</v>
      </c>
      <c r="R24" s="569">
        <f>SUM('107 (a)'!R24*1.1)</f>
        <v>5.5</v>
      </c>
      <c r="S24" s="569">
        <f>SUM('107 (a)'!S24*1.1)</f>
        <v>5.5</v>
      </c>
      <c r="T24" s="569">
        <f>SUM('107 (a)'!T24*1.1)</f>
        <v>0</v>
      </c>
      <c r="U24" s="565">
        <f t="shared" si="10"/>
        <v>5.5</v>
      </c>
      <c r="V24" s="569"/>
      <c r="W24" s="566"/>
      <c r="X24" s="565">
        <f t="shared" si="11"/>
        <v>0</v>
      </c>
      <c r="Y24" s="565">
        <f t="shared" si="12"/>
        <v>5.5</v>
      </c>
      <c r="Z24" s="601">
        <f t="shared" si="13"/>
        <v>106.7</v>
      </c>
      <c r="AB24" s="886">
        <f>41700*2-500</f>
        <v>82900</v>
      </c>
      <c r="AC24" s="886"/>
      <c r="AE24" s="7">
        <v>1</v>
      </c>
      <c r="AF24" s="7" t="s">
        <v>1347</v>
      </c>
      <c r="AI24" s="883">
        <f t="shared" si="7"/>
        <v>0</v>
      </c>
    </row>
    <row r="25" spans="1:35" s="7" customFormat="1" ht="18.95" customHeight="1">
      <c r="A25" s="908">
        <v>4</v>
      </c>
      <c r="B25" s="904" t="s">
        <v>390</v>
      </c>
      <c r="C25" s="569">
        <f>SUM('107 (a)'!C25*1.1)</f>
        <v>49.500000000000007</v>
      </c>
      <c r="D25" s="569">
        <f>SUM('107 (a)'!D25*1.1)</f>
        <v>56.1</v>
      </c>
      <c r="E25" s="569">
        <f>SUM('107 (a)'!E25*1.1)</f>
        <v>52.800000000000004</v>
      </c>
      <c r="F25" s="569">
        <f>SUM('107 (a)'!F25*1.1)</f>
        <v>47.300000000000004</v>
      </c>
      <c r="G25" s="569">
        <f>SUM('107 (a)'!G25*1.1)</f>
        <v>205.70000000000002</v>
      </c>
      <c r="H25" s="569">
        <f>SUM('107 (a)'!H25*1.1)</f>
        <v>145.20000000000002</v>
      </c>
      <c r="I25" s="569">
        <f>SUM('107 (a)'!I25*1.1)</f>
        <v>350.90000000000003</v>
      </c>
      <c r="J25" s="569">
        <f>SUM('107 (a)'!J25*1.1)</f>
        <v>99.000000000000014</v>
      </c>
      <c r="K25" s="569">
        <f>SUM('107 (a)'!K25*1.1)</f>
        <v>0</v>
      </c>
      <c r="L25" s="565">
        <f>J25+K25</f>
        <v>99.000000000000014</v>
      </c>
      <c r="M25" s="565">
        <f>I25+L25</f>
        <v>449.90000000000003</v>
      </c>
      <c r="N25" s="604"/>
      <c r="O25" s="569">
        <f>SUM('107 (a)'!O25*1.1)</f>
        <v>13.200000000000001</v>
      </c>
      <c r="P25" s="569">
        <f>SUM('107 (a)'!P25*1.1)</f>
        <v>145.20000000000002</v>
      </c>
      <c r="Q25" s="569">
        <f>SUM('107 (a)'!Q25*1.1)</f>
        <v>128.70000000000002</v>
      </c>
      <c r="R25" s="569">
        <f>SUM('107 (a)'!R25*1.1)</f>
        <v>38.5</v>
      </c>
      <c r="S25" s="569">
        <f>SUM('107 (a)'!S25*1.1)</f>
        <v>325.60000000000002</v>
      </c>
      <c r="T25" s="569">
        <f>SUM('107 (a)'!T25*1.1)</f>
        <v>79.2</v>
      </c>
      <c r="U25" s="565">
        <f t="shared" si="10"/>
        <v>404.8</v>
      </c>
      <c r="V25" s="569"/>
      <c r="W25" s="566"/>
      <c r="X25" s="565">
        <f>V25+W25</f>
        <v>0</v>
      </c>
      <c r="Y25" s="565">
        <f>U25+X25</f>
        <v>404.8</v>
      </c>
      <c r="Z25" s="601">
        <f>Y25+M25</f>
        <v>854.7</v>
      </c>
      <c r="AB25" s="886">
        <f>41700*2-500</f>
        <v>82900</v>
      </c>
      <c r="AC25" s="886">
        <v>81500</v>
      </c>
      <c r="AI25" s="883">
        <f t="shared" si="7"/>
        <v>0</v>
      </c>
    </row>
    <row r="26" spans="1:35" s="7" customFormat="1" ht="18.95" customHeight="1">
      <c r="A26" s="908">
        <v>5</v>
      </c>
      <c r="B26" s="904" t="s">
        <v>391</v>
      </c>
      <c r="C26" s="569">
        <f>SUM('107 (a)'!C26*1.1)</f>
        <v>66</v>
      </c>
      <c r="D26" s="569">
        <f>SUM('107 (a)'!D26*1.1)</f>
        <v>58.300000000000004</v>
      </c>
      <c r="E26" s="569">
        <f>SUM('107 (a)'!E26*1.1)</f>
        <v>50.6</v>
      </c>
      <c r="F26" s="569">
        <f>SUM('107 (a)'!F26*1.1)</f>
        <v>39.6</v>
      </c>
      <c r="G26" s="569">
        <f>SUM('107 (a)'!G26*1.1)</f>
        <v>214.50000000000003</v>
      </c>
      <c r="H26" s="569">
        <f>SUM('107 (a)'!H26*1.1)</f>
        <v>60.500000000000007</v>
      </c>
      <c r="I26" s="569">
        <f>SUM('107 (a)'!I26*1.1)</f>
        <v>275</v>
      </c>
      <c r="J26" s="569">
        <f>SUM('107 (a)'!J26*1.1)</f>
        <v>35.200000000000003</v>
      </c>
      <c r="K26" s="569">
        <f>SUM('107 (a)'!K26*1.1)</f>
        <v>7.7000000000000011</v>
      </c>
      <c r="L26" s="565">
        <f t="shared" si="8"/>
        <v>42.900000000000006</v>
      </c>
      <c r="M26" s="565">
        <f t="shared" si="9"/>
        <v>317.89999999999998</v>
      </c>
      <c r="N26" s="604"/>
      <c r="O26" s="569">
        <f>SUM('107 (a)'!O26*1.1)</f>
        <v>0</v>
      </c>
      <c r="P26" s="569">
        <f>SUM('107 (a)'!P26*1.1)</f>
        <v>0</v>
      </c>
      <c r="Q26" s="569">
        <f>SUM('107 (a)'!Q26*1.1)</f>
        <v>0</v>
      </c>
      <c r="R26" s="569">
        <f>SUM('107 (a)'!R26*1.1)</f>
        <v>0</v>
      </c>
      <c r="S26" s="569">
        <f>SUM('107 (a)'!S26*1.1)</f>
        <v>0</v>
      </c>
      <c r="T26" s="569">
        <f>SUM('107 (a)'!T26*1.1)</f>
        <v>0</v>
      </c>
      <c r="U26" s="565">
        <f t="shared" si="10"/>
        <v>0</v>
      </c>
      <c r="V26" s="569"/>
      <c r="W26" s="566"/>
      <c r="X26" s="565">
        <f t="shared" si="11"/>
        <v>0</v>
      </c>
      <c r="Y26" s="565">
        <f t="shared" si="12"/>
        <v>0</v>
      </c>
      <c r="Z26" s="601">
        <f t="shared" si="13"/>
        <v>317.89999999999998</v>
      </c>
      <c r="AB26" s="886"/>
      <c r="AC26" s="886"/>
      <c r="AI26" s="883">
        <f t="shared" si="7"/>
        <v>0</v>
      </c>
    </row>
    <row r="27" spans="1:35" s="7" customFormat="1" ht="18.95" customHeight="1">
      <c r="A27" s="908">
        <v>6</v>
      </c>
      <c r="B27" s="904" t="s">
        <v>1122</v>
      </c>
      <c r="C27" s="569">
        <f>SUM('107 (a)'!C27*1.1)</f>
        <v>17.600000000000001</v>
      </c>
      <c r="D27" s="569">
        <f>SUM('107 (a)'!D27*1.1)</f>
        <v>27.500000000000004</v>
      </c>
      <c r="E27" s="569">
        <f>SUM('107 (a)'!E27*1.1)</f>
        <v>0</v>
      </c>
      <c r="F27" s="569">
        <f>SUM('107 (a)'!F27*1.1)</f>
        <v>0</v>
      </c>
      <c r="G27" s="569">
        <f>SUM('107 (a)'!G27*1.1)</f>
        <v>45.1</v>
      </c>
      <c r="H27" s="569">
        <f>SUM('107 (a)'!H27*1.1)</f>
        <v>11</v>
      </c>
      <c r="I27" s="569">
        <f>SUM('107 (a)'!I27*1.1)</f>
        <v>56.1</v>
      </c>
      <c r="J27" s="569">
        <f>SUM('107 (a)'!J27*1.1)</f>
        <v>2.2000000000000002</v>
      </c>
      <c r="K27" s="569">
        <f>SUM('107 (a)'!K27*1.1)</f>
        <v>0</v>
      </c>
      <c r="L27" s="565">
        <f t="shared" si="8"/>
        <v>2.2000000000000002</v>
      </c>
      <c r="M27" s="565">
        <f t="shared" si="9"/>
        <v>58.300000000000004</v>
      </c>
      <c r="N27" s="604"/>
      <c r="O27" s="569">
        <f>SUM('107 (a)'!O27*1.1)</f>
        <v>0</v>
      </c>
      <c r="P27" s="569">
        <f>SUM('107 (a)'!P27*1.1)</f>
        <v>0</v>
      </c>
      <c r="Q27" s="569">
        <f>SUM('107 (a)'!Q27*1.1)</f>
        <v>0</v>
      </c>
      <c r="R27" s="569">
        <f>SUM('107 (a)'!R27*1.1)</f>
        <v>0</v>
      </c>
      <c r="S27" s="569">
        <f>SUM('107 (a)'!S27*1.1)</f>
        <v>0</v>
      </c>
      <c r="T27" s="569">
        <f>SUM('107 (a)'!T27*1.1)</f>
        <v>0</v>
      </c>
      <c r="U27" s="565">
        <f t="shared" si="10"/>
        <v>0</v>
      </c>
      <c r="V27" s="569"/>
      <c r="W27" s="566"/>
      <c r="X27" s="565">
        <f t="shared" si="11"/>
        <v>0</v>
      </c>
      <c r="Y27" s="565">
        <f t="shared" si="12"/>
        <v>0</v>
      </c>
      <c r="Z27" s="601">
        <f t="shared" si="13"/>
        <v>58.300000000000004</v>
      </c>
      <c r="AB27" s="886"/>
      <c r="AC27" s="886"/>
      <c r="AE27" s="7">
        <v>5</v>
      </c>
      <c r="AF27" s="7" t="s">
        <v>1347</v>
      </c>
      <c r="AI27" s="883">
        <f t="shared" si="7"/>
        <v>0</v>
      </c>
    </row>
    <row r="28" spans="1:35" s="7" customFormat="1" ht="18.95" customHeight="1">
      <c r="A28" s="908">
        <v>7</v>
      </c>
      <c r="B28" s="904" t="s">
        <v>1316</v>
      </c>
      <c r="C28" s="569">
        <f>SUM('107 (a)'!C28*1.1)</f>
        <v>51.7</v>
      </c>
      <c r="D28" s="569">
        <f>SUM('107 (a)'!D28*1.1)</f>
        <v>50.6</v>
      </c>
      <c r="E28" s="569">
        <f>SUM('107 (a)'!E28*1.1)</f>
        <v>30.800000000000004</v>
      </c>
      <c r="F28" s="569">
        <f>SUM('107 (a)'!F28*1.1)</f>
        <v>28.6</v>
      </c>
      <c r="G28" s="569">
        <f>SUM('107 (a)'!G28*1.1)</f>
        <v>161.70000000000002</v>
      </c>
      <c r="H28" s="569">
        <f>SUM('107 (a)'!H28*1.1)</f>
        <v>112.2</v>
      </c>
      <c r="I28" s="569">
        <f>SUM('107 (a)'!I28*1.1)</f>
        <v>273.90000000000003</v>
      </c>
      <c r="J28" s="569">
        <f>SUM('107 (a)'!J28*1.1)</f>
        <v>59.400000000000006</v>
      </c>
      <c r="K28" s="569">
        <f>SUM('107 (a)'!K28*1.1)</f>
        <v>25.3</v>
      </c>
      <c r="L28" s="565">
        <f t="shared" si="8"/>
        <v>84.7</v>
      </c>
      <c r="M28" s="565">
        <f t="shared" si="9"/>
        <v>358.6</v>
      </c>
      <c r="N28" s="604"/>
      <c r="O28" s="569">
        <f>SUM('107 (a)'!O28*1.1)</f>
        <v>66</v>
      </c>
      <c r="P28" s="569">
        <f>SUM('107 (a)'!P28*1.1)</f>
        <v>0</v>
      </c>
      <c r="Q28" s="569">
        <f>SUM('107 (a)'!Q28*1.1)</f>
        <v>29.700000000000003</v>
      </c>
      <c r="R28" s="569">
        <f>SUM('107 (a)'!R28*1.1)</f>
        <v>0</v>
      </c>
      <c r="S28" s="569">
        <f>SUM('107 (a)'!S28*1.1)</f>
        <v>95.7</v>
      </c>
      <c r="T28" s="569">
        <f>SUM('107 (a)'!T28*1.1)</f>
        <v>0</v>
      </c>
      <c r="U28" s="565">
        <f t="shared" si="10"/>
        <v>95.7</v>
      </c>
      <c r="V28" s="569"/>
      <c r="W28" s="566"/>
      <c r="X28" s="565">
        <f t="shared" si="11"/>
        <v>0</v>
      </c>
      <c r="Y28" s="565">
        <f t="shared" si="12"/>
        <v>95.7</v>
      </c>
      <c r="Z28" s="601">
        <f t="shared" si="13"/>
        <v>454.3</v>
      </c>
      <c r="AB28" s="886">
        <f>41700*2-500</f>
        <v>82900</v>
      </c>
      <c r="AC28" s="886"/>
      <c r="AI28" s="883">
        <f t="shared" si="7"/>
        <v>0</v>
      </c>
    </row>
    <row r="29" spans="1:35" s="7" customFormat="1" ht="18.95" customHeight="1">
      <c r="A29" s="908">
        <v>8</v>
      </c>
      <c r="B29" s="904" t="s">
        <v>396</v>
      </c>
      <c r="C29" s="569">
        <f>SUM('107 (a)'!C29*1.1)</f>
        <v>55.000000000000007</v>
      </c>
      <c r="D29" s="569">
        <f>SUM('107 (a)'!D29*1.1)</f>
        <v>71.5</v>
      </c>
      <c r="E29" s="569">
        <f>SUM('107 (a)'!E29*1.1)</f>
        <v>47.300000000000004</v>
      </c>
      <c r="F29" s="569">
        <f>SUM('107 (a)'!F29*1.1)</f>
        <v>31.900000000000002</v>
      </c>
      <c r="G29" s="569">
        <f>SUM('107 (a)'!G29*1.1)</f>
        <v>205.70000000000002</v>
      </c>
      <c r="H29" s="569">
        <f>SUM('107 (a)'!H29*1.1)</f>
        <v>94.600000000000009</v>
      </c>
      <c r="I29" s="569">
        <f>SUM('107 (a)'!I29*1.1)</f>
        <v>300.3</v>
      </c>
      <c r="J29" s="569">
        <f>SUM('107 (a)'!J29*1.1)</f>
        <v>50.6</v>
      </c>
      <c r="K29" s="569">
        <f>SUM('107 (a)'!K29*1.1)</f>
        <v>31.900000000000002</v>
      </c>
      <c r="L29" s="565">
        <f t="shared" si="8"/>
        <v>82.5</v>
      </c>
      <c r="M29" s="565">
        <f t="shared" si="9"/>
        <v>382.8</v>
      </c>
      <c r="N29" s="604"/>
      <c r="O29" s="569">
        <f>SUM('107 (a)'!O29*1.1)</f>
        <v>42.900000000000006</v>
      </c>
      <c r="P29" s="569">
        <f>SUM('107 (a)'!P29*1.1)</f>
        <v>71.5</v>
      </c>
      <c r="Q29" s="569">
        <f>SUM('107 (a)'!Q29*1.1)</f>
        <v>0</v>
      </c>
      <c r="R29" s="569">
        <f>SUM('107 (a)'!R29*1.1)</f>
        <v>0</v>
      </c>
      <c r="S29" s="569">
        <f>SUM('107 (a)'!S29*1.1)</f>
        <v>114.4</v>
      </c>
      <c r="T29" s="569">
        <f>SUM('107 (a)'!T29*1.1)</f>
        <v>0</v>
      </c>
      <c r="U29" s="565">
        <f t="shared" si="10"/>
        <v>114.4</v>
      </c>
      <c r="V29" s="569"/>
      <c r="W29" s="566"/>
      <c r="X29" s="565">
        <f t="shared" si="11"/>
        <v>0</v>
      </c>
      <c r="Y29" s="565">
        <f t="shared" si="12"/>
        <v>114.4</v>
      </c>
      <c r="Z29" s="601">
        <f t="shared" si="13"/>
        <v>497.20000000000005</v>
      </c>
      <c r="AB29" s="886">
        <f>41700*2-500</f>
        <v>82900</v>
      </c>
      <c r="AC29" s="886"/>
      <c r="AI29" s="883">
        <f t="shared" si="7"/>
        <v>0</v>
      </c>
    </row>
    <row r="30" spans="1:35" s="7" customFormat="1" ht="28.5">
      <c r="A30" s="908">
        <v>9</v>
      </c>
      <c r="B30" s="904" t="s">
        <v>1317</v>
      </c>
      <c r="C30" s="569">
        <f>SUM('107 (a)'!C30*1.1)</f>
        <v>50.6</v>
      </c>
      <c r="D30" s="569">
        <f>SUM('107 (a)'!D30*1.1)</f>
        <v>39.6</v>
      </c>
      <c r="E30" s="569">
        <f>SUM('107 (a)'!E30*1.1)</f>
        <v>30.800000000000004</v>
      </c>
      <c r="F30" s="569">
        <f>SUM('107 (a)'!F30*1.1)</f>
        <v>0</v>
      </c>
      <c r="G30" s="569">
        <f>SUM('107 (a)'!G30*1.1)</f>
        <v>121.00000000000001</v>
      </c>
      <c r="H30" s="569">
        <f>SUM('107 (a)'!H30*1.1)</f>
        <v>80.300000000000011</v>
      </c>
      <c r="I30" s="569">
        <f>SUM('107 (a)'!I30*1.1)</f>
        <v>201.3</v>
      </c>
      <c r="J30" s="569">
        <f>SUM('107 (a)'!J30*1.1)</f>
        <v>28.6</v>
      </c>
      <c r="K30" s="569">
        <f>SUM('107 (a)'!K30*1.1)</f>
        <v>11</v>
      </c>
      <c r="L30" s="565">
        <f t="shared" si="8"/>
        <v>39.6</v>
      </c>
      <c r="M30" s="565">
        <f t="shared" si="9"/>
        <v>240.9</v>
      </c>
      <c r="N30" s="604"/>
      <c r="O30" s="569">
        <f>SUM('107 (a)'!O30*1.1)</f>
        <v>56.1</v>
      </c>
      <c r="P30" s="569">
        <f>SUM('107 (a)'!P30*1.1)</f>
        <v>33</v>
      </c>
      <c r="Q30" s="569">
        <f>SUM('107 (a)'!Q30*1.1)</f>
        <v>0</v>
      </c>
      <c r="R30" s="569">
        <f>SUM('107 (a)'!R30*1.1)</f>
        <v>0</v>
      </c>
      <c r="S30" s="569">
        <f>SUM('107 (a)'!S30*1.1)</f>
        <v>89.100000000000009</v>
      </c>
      <c r="T30" s="569">
        <f>SUM('107 (a)'!T30*1.1)</f>
        <v>0</v>
      </c>
      <c r="U30" s="565">
        <f t="shared" si="10"/>
        <v>89.1</v>
      </c>
      <c r="V30" s="569"/>
      <c r="W30" s="566"/>
      <c r="X30" s="565">
        <f t="shared" si="11"/>
        <v>0</v>
      </c>
      <c r="Y30" s="565">
        <f t="shared" si="12"/>
        <v>89.1</v>
      </c>
      <c r="Z30" s="601">
        <f t="shared" si="13"/>
        <v>330</v>
      </c>
      <c r="AB30" s="886">
        <f>41700*2-500</f>
        <v>82900</v>
      </c>
      <c r="AC30" s="886"/>
      <c r="AI30" s="883">
        <f t="shared" si="7"/>
        <v>0</v>
      </c>
    </row>
    <row r="31" spans="1:35" s="7" customFormat="1" ht="18.95" customHeight="1">
      <c r="A31" s="908">
        <v>10</v>
      </c>
      <c r="B31" s="904" t="s">
        <v>409</v>
      </c>
      <c r="C31" s="569">
        <f>SUM('107 (a)'!C31*1.1)</f>
        <v>30.800000000000004</v>
      </c>
      <c r="D31" s="569">
        <f>SUM('107 (a)'!D31*1.1)</f>
        <v>29.700000000000003</v>
      </c>
      <c r="E31" s="569">
        <f>SUM('107 (a)'!E31*1.1)</f>
        <v>13.200000000000001</v>
      </c>
      <c r="F31" s="569">
        <f>SUM('107 (a)'!F31*1.1)</f>
        <v>12.100000000000001</v>
      </c>
      <c r="G31" s="569">
        <f>SUM('107 (a)'!G31*1.1)</f>
        <v>85.800000000000011</v>
      </c>
      <c r="H31" s="569">
        <f>SUM('107 (a)'!H31*1.1)</f>
        <v>35.200000000000003</v>
      </c>
      <c r="I31" s="569">
        <f>SUM('107 (a)'!I31*1.1)</f>
        <v>121.00000000000001</v>
      </c>
      <c r="J31" s="569">
        <f>SUM('107 (a)'!J31*1.1)</f>
        <v>60.500000000000007</v>
      </c>
      <c r="K31" s="569">
        <f>SUM('107 (a)'!K31*1.1)</f>
        <v>28.6</v>
      </c>
      <c r="L31" s="565">
        <f>J31+K31</f>
        <v>89.100000000000009</v>
      </c>
      <c r="M31" s="565">
        <f>I31+L31</f>
        <v>210.10000000000002</v>
      </c>
      <c r="N31" s="604"/>
      <c r="O31" s="569">
        <f>SUM('107 (a)'!O31*1.1)</f>
        <v>0</v>
      </c>
      <c r="P31" s="569">
        <f>SUM('107 (a)'!P31*1.1)</f>
        <v>0</v>
      </c>
      <c r="Q31" s="569">
        <f>SUM('107 (a)'!Q31*1.1)</f>
        <v>0</v>
      </c>
      <c r="R31" s="569">
        <f>SUM('107 (a)'!R31*1.1)</f>
        <v>0</v>
      </c>
      <c r="S31" s="569">
        <f>SUM('107 (a)'!S31*1.1)</f>
        <v>0</v>
      </c>
      <c r="T31" s="569">
        <f>SUM('107 (a)'!T31*1.1)</f>
        <v>0</v>
      </c>
      <c r="U31" s="565">
        <f t="shared" si="10"/>
        <v>0</v>
      </c>
      <c r="V31" s="569"/>
      <c r="W31" s="566"/>
      <c r="X31" s="565">
        <f>V31+W31</f>
        <v>0</v>
      </c>
      <c r="Y31" s="565">
        <f>U31+X31</f>
        <v>0</v>
      </c>
      <c r="Z31" s="601">
        <f>Y31+M31</f>
        <v>210.10000000000002</v>
      </c>
      <c r="AB31" s="886"/>
      <c r="AC31" s="886"/>
      <c r="AI31" s="883">
        <f t="shared" si="7"/>
        <v>0</v>
      </c>
    </row>
    <row r="32" spans="1:35" s="7" customFormat="1" ht="18.95" customHeight="1">
      <c r="A32" s="908">
        <v>11</v>
      </c>
      <c r="B32" s="904" t="s">
        <v>382</v>
      </c>
      <c r="C32" s="569">
        <f>SUM('107 (a)'!C32*1.1)</f>
        <v>184.8</v>
      </c>
      <c r="D32" s="569">
        <f>SUM('107 (a)'!D32*1.1)</f>
        <v>155.10000000000002</v>
      </c>
      <c r="E32" s="569">
        <f>SUM('107 (a)'!E32*1.1)</f>
        <v>104.50000000000001</v>
      </c>
      <c r="F32" s="569">
        <f>SUM('107 (a)'!F32*1.1)</f>
        <v>95.7</v>
      </c>
      <c r="G32" s="569">
        <f>SUM('107 (a)'!G32*1.1)</f>
        <v>540.1</v>
      </c>
      <c r="H32" s="569">
        <f>SUM('107 (a)'!H32*1.1)</f>
        <v>44</v>
      </c>
      <c r="I32" s="569">
        <f>SUM('107 (a)'!I32*1.1)</f>
        <v>584.1</v>
      </c>
      <c r="J32" s="569">
        <f>SUM('107 (a)'!J32*1.1)</f>
        <v>34.1</v>
      </c>
      <c r="K32" s="569">
        <f>SUM('107 (a)'!K32*1.1)</f>
        <v>4.4000000000000004</v>
      </c>
      <c r="L32" s="565">
        <f>J32+K32</f>
        <v>38.5</v>
      </c>
      <c r="M32" s="565">
        <f>I32+L32</f>
        <v>622.6</v>
      </c>
      <c r="N32" s="604"/>
      <c r="O32" s="569">
        <f>SUM('107 (a)'!O32*1.1)</f>
        <v>0</v>
      </c>
      <c r="P32" s="569">
        <f>SUM('107 (a)'!P32*1.1)</f>
        <v>0</v>
      </c>
      <c r="Q32" s="569">
        <f>SUM('107 (a)'!Q32*1.1)</f>
        <v>0</v>
      </c>
      <c r="R32" s="569">
        <f>SUM('107 (a)'!R32*1.1)</f>
        <v>0</v>
      </c>
      <c r="S32" s="569">
        <f>SUM('107 (a)'!S32*1.1)</f>
        <v>0</v>
      </c>
      <c r="T32" s="569">
        <f>SUM('107 (a)'!T32*1.1)</f>
        <v>0</v>
      </c>
      <c r="U32" s="565">
        <f t="shared" si="10"/>
        <v>0</v>
      </c>
      <c r="V32" s="570"/>
      <c r="W32" s="567"/>
      <c r="X32" s="565">
        <f>V32+W32</f>
        <v>0</v>
      </c>
      <c r="Y32" s="565">
        <f>U32+X32</f>
        <v>0</v>
      </c>
      <c r="Z32" s="601">
        <f>Y32+M32</f>
        <v>622.6</v>
      </c>
      <c r="AB32" s="886"/>
      <c r="AC32" s="886"/>
      <c r="AI32" s="883">
        <f t="shared" si="7"/>
        <v>0</v>
      </c>
    </row>
    <row r="33" spans="1:35" s="7" customFormat="1" ht="28.5">
      <c r="A33" s="908">
        <v>12</v>
      </c>
      <c r="B33" s="904" t="s">
        <v>1323</v>
      </c>
      <c r="C33" s="569">
        <f>SUM('107 (a)'!C33*1.1)</f>
        <v>44</v>
      </c>
      <c r="D33" s="569">
        <f>SUM('107 (a)'!D33*1.1)</f>
        <v>44</v>
      </c>
      <c r="E33" s="569">
        <f>SUM('107 (a)'!E33*1.1)</f>
        <v>0</v>
      </c>
      <c r="F33" s="569">
        <f>SUM('107 (a)'!F33*1.1)</f>
        <v>0</v>
      </c>
      <c r="G33" s="569">
        <f>SUM('107 (a)'!G33*1.1)</f>
        <v>88</v>
      </c>
      <c r="H33" s="569">
        <f>SUM('107 (a)'!H33*1.1)</f>
        <v>106.7</v>
      </c>
      <c r="I33" s="569">
        <f>SUM('107 (a)'!I33*1.1)</f>
        <v>194.70000000000002</v>
      </c>
      <c r="J33" s="569">
        <f>SUM('107 (a)'!J33*1.1)</f>
        <v>55.000000000000007</v>
      </c>
      <c r="K33" s="569">
        <f>SUM('107 (a)'!K33*1.1)</f>
        <v>23.1</v>
      </c>
      <c r="L33" s="565">
        <f>J33+K33</f>
        <v>78.100000000000009</v>
      </c>
      <c r="M33" s="565">
        <f>I33+L33</f>
        <v>272.8</v>
      </c>
      <c r="N33" s="604"/>
      <c r="O33" s="569">
        <f>SUM('107 (a)'!O33*1.1)</f>
        <v>33</v>
      </c>
      <c r="P33" s="569">
        <f>SUM('107 (a)'!P33*1.1)</f>
        <v>40.700000000000003</v>
      </c>
      <c r="Q33" s="569">
        <f>SUM('107 (a)'!Q33*1.1)</f>
        <v>0</v>
      </c>
      <c r="R33" s="569">
        <f>SUM('107 (a)'!R33*1.1)</f>
        <v>0</v>
      </c>
      <c r="S33" s="569">
        <f>SUM('107 (a)'!S33*1.1)</f>
        <v>73.7</v>
      </c>
      <c r="T33" s="569">
        <f>SUM('107 (a)'!T33*1.1)</f>
        <v>0</v>
      </c>
      <c r="U33" s="565">
        <f t="shared" si="10"/>
        <v>73.7</v>
      </c>
      <c r="V33" s="570"/>
      <c r="W33" s="567"/>
      <c r="X33" s="565">
        <f>V33+W33</f>
        <v>0</v>
      </c>
      <c r="Y33" s="565">
        <f>U33+X33</f>
        <v>73.7</v>
      </c>
      <c r="Z33" s="601">
        <f>Y33+M33</f>
        <v>346.5</v>
      </c>
      <c r="AB33" s="886">
        <f>41700*2-500</f>
        <v>82900</v>
      </c>
      <c r="AC33" s="886"/>
      <c r="AI33" s="883">
        <f t="shared" si="7"/>
        <v>0</v>
      </c>
    </row>
    <row r="34" spans="1:35" s="7" customFormat="1" ht="18.95" customHeight="1">
      <c r="A34" s="908">
        <v>13</v>
      </c>
      <c r="B34" s="904" t="s">
        <v>410</v>
      </c>
      <c r="C34" s="569">
        <f>SUM('107 (a)'!C34*1.1)</f>
        <v>52.800000000000004</v>
      </c>
      <c r="D34" s="569">
        <f>SUM('107 (a)'!D34*1.1)</f>
        <v>53.900000000000006</v>
      </c>
      <c r="E34" s="569">
        <f>SUM('107 (a)'!E34*1.1)</f>
        <v>56.1</v>
      </c>
      <c r="F34" s="569">
        <f>SUM('107 (a)'!F34*1.1)</f>
        <v>49.500000000000007</v>
      </c>
      <c r="G34" s="569">
        <f>SUM('107 (a)'!G34*1.1)</f>
        <v>212.3</v>
      </c>
      <c r="H34" s="569">
        <f>SUM('107 (a)'!H34*1.1)</f>
        <v>0</v>
      </c>
      <c r="I34" s="569">
        <f>SUM('107 (a)'!I34*1.1)</f>
        <v>212.3</v>
      </c>
      <c r="J34" s="569">
        <f>SUM('107 (a)'!J34*1.1)</f>
        <v>34.1</v>
      </c>
      <c r="K34" s="569">
        <f>SUM('107 (a)'!K34*1.1)</f>
        <v>14.3</v>
      </c>
      <c r="L34" s="565">
        <f>J34+K34</f>
        <v>48.400000000000006</v>
      </c>
      <c r="M34" s="565">
        <f>I34+L34</f>
        <v>260.70000000000005</v>
      </c>
      <c r="N34" s="604"/>
      <c r="O34" s="569">
        <f>SUM('107 (a)'!O34*1.1)</f>
        <v>3.3000000000000003</v>
      </c>
      <c r="P34" s="569">
        <f>SUM('107 (a)'!P34*1.1)</f>
        <v>11</v>
      </c>
      <c r="Q34" s="569">
        <f>SUM('107 (a)'!Q34*1.1)</f>
        <v>16.5</v>
      </c>
      <c r="R34" s="569">
        <f>SUM('107 (a)'!R34*1.1)</f>
        <v>8.8000000000000007</v>
      </c>
      <c r="S34" s="569">
        <f>SUM('107 (a)'!S34*1.1)</f>
        <v>39.6</v>
      </c>
      <c r="T34" s="569">
        <f>SUM('107 (a)'!T34*1.1)</f>
        <v>0</v>
      </c>
      <c r="U34" s="565">
        <f t="shared" si="10"/>
        <v>39.6</v>
      </c>
      <c r="V34" s="569"/>
      <c r="W34" s="566"/>
      <c r="X34" s="565">
        <f>V34+W34</f>
        <v>0</v>
      </c>
      <c r="Y34" s="565">
        <f>U34+X34</f>
        <v>39.6</v>
      </c>
      <c r="Z34" s="601">
        <f>Y34+M34</f>
        <v>300.30000000000007</v>
      </c>
      <c r="AB34" s="886">
        <f>41700*2-500</f>
        <v>82900</v>
      </c>
      <c r="AC34" s="886"/>
      <c r="AI34" s="883">
        <f t="shared" si="7"/>
        <v>0</v>
      </c>
    </row>
    <row r="35" spans="1:35">
      <c r="I35" s="565">
        <f t="shared" ref="I35" si="14">C35+E35+H35+D35+F35</f>
        <v>0</v>
      </c>
      <c r="M35" s="565">
        <f t="shared" ref="M35" si="15">I35+L35</f>
        <v>0</v>
      </c>
      <c r="U35" s="565">
        <f t="shared" si="10"/>
        <v>0</v>
      </c>
      <c r="AI35" s="883">
        <f t="shared" si="7"/>
        <v>0</v>
      </c>
    </row>
    <row r="36" spans="1:35" ht="20.100000000000001" customHeight="1">
      <c r="A36" s="1521" t="s">
        <v>752</v>
      </c>
      <c r="B36" s="1522"/>
      <c r="C36" s="856">
        <f>SUM(C22:C34)</f>
        <v>749.1</v>
      </c>
      <c r="D36" s="856">
        <f t="shared" ref="D36:Z36" si="16">SUM(D22:D34)</f>
        <v>715.00000000000011</v>
      </c>
      <c r="E36" s="856">
        <f t="shared" si="16"/>
        <v>478.50000000000006</v>
      </c>
      <c r="F36" s="856">
        <f t="shared" si="16"/>
        <v>383.90000000000003</v>
      </c>
      <c r="G36" s="856">
        <f t="shared" si="16"/>
        <v>2326.5000000000005</v>
      </c>
      <c r="H36" s="856">
        <f t="shared" si="16"/>
        <v>840.40000000000009</v>
      </c>
      <c r="I36" s="856">
        <f t="shared" si="16"/>
        <v>3166.9</v>
      </c>
      <c r="J36" s="856">
        <f t="shared" si="16"/>
        <v>504.90000000000009</v>
      </c>
      <c r="K36" s="856">
        <f t="shared" si="16"/>
        <v>170.50000000000003</v>
      </c>
      <c r="L36" s="856">
        <f t="shared" si="16"/>
        <v>675.40000000000009</v>
      </c>
      <c r="M36" s="856">
        <f t="shared" si="16"/>
        <v>3842.3</v>
      </c>
      <c r="N36" s="856">
        <f t="shared" si="16"/>
        <v>0</v>
      </c>
      <c r="O36" s="856">
        <f t="shared" si="16"/>
        <v>291.5</v>
      </c>
      <c r="P36" s="856">
        <f t="shared" si="16"/>
        <v>369.6</v>
      </c>
      <c r="Q36" s="856">
        <f t="shared" si="16"/>
        <v>231</v>
      </c>
      <c r="R36" s="856">
        <f t="shared" si="16"/>
        <v>103.39999999999999</v>
      </c>
      <c r="S36" s="856"/>
      <c r="T36" s="856">
        <f t="shared" si="16"/>
        <v>79.2</v>
      </c>
      <c r="U36" s="565">
        <f>+T36+R36+Q36+P36+O36</f>
        <v>1074.7</v>
      </c>
      <c r="V36" s="856">
        <f t="shared" si="16"/>
        <v>0</v>
      </c>
      <c r="W36" s="856">
        <f t="shared" si="16"/>
        <v>0</v>
      </c>
      <c r="X36" s="856">
        <f t="shared" si="16"/>
        <v>0</v>
      </c>
      <c r="Y36" s="856">
        <f t="shared" si="16"/>
        <v>1074.7</v>
      </c>
      <c r="Z36" s="856">
        <f t="shared" si="16"/>
        <v>4917.0000000000009</v>
      </c>
      <c r="AI36" s="883">
        <f t="shared" si="7"/>
        <v>0</v>
      </c>
    </row>
    <row r="37" spans="1:35" ht="15" customHeight="1">
      <c r="A37" s="1478" t="s">
        <v>152</v>
      </c>
      <c r="B37" s="1480"/>
      <c r="C37" s="24"/>
      <c r="D37" s="24"/>
      <c r="E37" s="24"/>
      <c r="F37" s="24"/>
      <c r="G37" s="24"/>
      <c r="H37" s="24"/>
      <c r="I37" s="25"/>
      <c r="J37" s="24"/>
      <c r="K37" s="24"/>
      <c r="L37" s="25"/>
      <c r="M37" s="24"/>
      <c r="N37" s="604"/>
      <c r="O37" s="24"/>
      <c r="P37" s="24"/>
      <c r="Q37" s="24"/>
      <c r="R37" s="24"/>
      <c r="S37" s="24"/>
      <c r="T37" s="24"/>
      <c r="U37" s="25"/>
      <c r="V37" s="24"/>
      <c r="W37" s="24"/>
      <c r="X37" s="25"/>
      <c r="Y37" s="24"/>
      <c r="Z37" s="600"/>
      <c r="AI37" s="883">
        <f t="shared" si="7"/>
        <v>0</v>
      </c>
    </row>
    <row r="38" spans="1:35" ht="15" customHeight="1">
      <c r="A38" s="561">
        <v>1</v>
      </c>
      <c r="B38" s="562"/>
      <c r="C38" s="359"/>
      <c r="D38" s="359"/>
      <c r="E38" s="359"/>
      <c r="F38" s="568"/>
      <c r="G38" s="568"/>
      <c r="H38" s="568"/>
      <c r="I38" s="565">
        <f t="shared" ref="I38:I42" si="17">C38+E38+H38+D38+F38</f>
        <v>0</v>
      </c>
      <c r="J38" s="571"/>
      <c r="K38" s="568"/>
      <c r="L38" s="565">
        <f t="shared" ref="L38:L42" si="18">J38+K38</f>
        <v>0</v>
      </c>
      <c r="M38" s="565">
        <f t="shared" ref="M38:M42" si="19">I38+L38</f>
        <v>0</v>
      </c>
      <c r="N38" s="604"/>
      <c r="O38" s="358"/>
      <c r="P38" s="359"/>
      <c r="Q38" s="359"/>
      <c r="R38" s="568"/>
      <c r="S38" s="803">
        <f t="shared" ref="S38:S42" si="20">SUM(O38:R38)</f>
        <v>0</v>
      </c>
      <c r="T38" s="804"/>
      <c r="U38" s="565">
        <f t="shared" ref="U38:U42" si="21">+O38+P38+Q38+R38+T38</f>
        <v>0</v>
      </c>
      <c r="V38" s="571"/>
      <c r="W38" s="568"/>
      <c r="X38" s="565">
        <f t="shared" ref="X38:X42" si="22">V38+W38</f>
        <v>0</v>
      </c>
      <c r="Y38" s="565">
        <f t="shared" ref="Y38:Y42" si="23">U38+X38</f>
        <v>0</v>
      </c>
      <c r="Z38" s="601">
        <f t="shared" ref="Z38:Z41" si="24">Y38+M38</f>
        <v>0</v>
      </c>
      <c r="AI38" s="883">
        <f t="shared" si="7"/>
        <v>0</v>
      </c>
    </row>
    <row r="39" spans="1:35" ht="15" customHeight="1">
      <c r="A39" s="561">
        <v>2</v>
      </c>
      <c r="B39" s="562"/>
      <c r="C39" s="359"/>
      <c r="D39" s="359"/>
      <c r="E39" s="359"/>
      <c r="F39" s="568"/>
      <c r="G39" s="568"/>
      <c r="H39" s="568"/>
      <c r="I39" s="565">
        <f t="shared" si="17"/>
        <v>0</v>
      </c>
      <c r="J39" s="571"/>
      <c r="K39" s="568"/>
      <c r="L39" s="565">
        <f t="shared" si="18"/>
        <v>0</v>
      </c>
      <c r="M39" s="565">
        <f t="shared" si="19"/>
        <v>0</v>
      </c>
      <c r="N39" s="604"/>
      <c r="O39" s="358"/>
      <c r="P39" s="359"/>
      <c r="Q39" s="359"/>
      <c r="R39" s="568"/>
      <c r="S39" s="803">
        <f t="shared" si="20"/>
        <v>0</v>
      </c>
      <c r="T39" s="804"/>
      <c r="U39" s="565">
        <f t="shared" si="21"/>
        <v>0</v>
      </c>
      <c r="V39" s="571"/>
      <c r="W39" s="568"/>
      <c r="X39" s="565">
        <f t="shared" si="22"/>
        <v>0</v>
      </c>
      <c r="Y39" s="565">
        <f t="shared" si="23"/>
        <v>0</v>
      </c>
      <c r="Z39" s="601">
        <f t="shared" si="24"/>
        <v>0</v>
      </c>
      <c r="AI39" s="883">
        <f t="shared" si="7"/>
        <v>0</v>
      </c>
    </row>
    <row r="40" spans="1:35" ht="15" customHeight="1">
      <c r="A40" s="561">
        <v>3</v>
      </c>
      <c r="B40" s="562"/>
      <c r="C40" s="359"/>
      <c r="D40" s="359"/>
      <c r="E40" s="359"/>
      <c r="F40" s="568"/>
      <c r="G40" s="568"/>
      <c r="H40" s="568"/>
      <c r="I40" s="565">
        <f t="shared" si="17"/>
        <v>0</v>
      </c>
      <c r="J40" s="571"/>
      <c r="K40" s="568"/>
      <c r="L40" s="565">
        <f t="shared" si="18"/>
        <v>0</v>
      </c>
      <c r="M40" s="565">
        <f t="shared" si="19"/>
        <v>0</v>
      </c>
      <c r="N40" s="604"/>
      <c r="O40" s="358"/>
      <c r="P40" s="359"/>
      <c r="Q40" s="359"/>
      <c r="R40" s="568"/>
      <c r="S40" s="803">
        <f t="shared" si="20"/>
        <v>0</v>
      </c>
      <c r="T40" s="804"/>
      <c r="U40" s="565">
        <f t="shared" si="21"/>
        <v>0</v>
      </c>
      <c r="V40" s="571"/>
      <c r="W40" s="568"/>
      <c r="X40" s="565">
        <f t="shared" si="22"/>
        <v>0</v>
      </c>
      <c r="Y40" s="565">
        <f t="shared" si="23"/>
        <v>0</v>
      </c>
      <c r="Z40" s="601">
        <f t="shared" si="24"/>
        <v>0</v>
      </c>
      <c r="AI40" s="883">
        <f t="shared" si="7"/>
        <v>0</v>
      </c>
    </row>
    <row r="41" spans="1:35" ht="15" customHeight="1">
      <c r="A41" s="561">
        <v>4</v>
      </c>
      <c r="B41" s="562"/>
      <c r="C41" s="359"/>
      <c r="D41" s="359"/>
      <c r="E41" s="359"/>
      <c r="F41" s="568"/>
      <c r="G41" s="568"/>
      <c r="H41" s="568"/>
      <c r="I41" s="565">
        <f t="shared" si="17"/>
        <v>0</v>
      </c>
      <c r="J41" s="571"/>
      <c r="K41" s="568"/>
      <c r="L41" s="565">
        <f t="shared" si="18"/>
        <v>0</v>
      </c>
      <c r="M41" s="565">
        <f t="shared" si="19"/>
        <v>0</v>
      </c>
      <c r="N41" s="604"/>
      <c r="O41" s="358"/>
      <c r="P41" s="359"/>
      <c r="Q41" s="359"/>
      <c r="R41" s="568"/>
      <c r="S41" s="803">
        <f t="shared" si="20"/>
        <v>0</v>
      </c>
      <c r="T41" s="804"/>
      <c r="U41" s="565">
        <f t="shared" si="21"/>
        <v>0</v>
      </c>
      <c r="V41" s="571"/>
      <c r="W41" s="568"/>
      <c r="X41" s="565">
        <f t="shared" si="22"/>
        <v>0</v>
      </c>
      <c r="Y41" s="565">
        <f t="shared" si="23"/>
        <v>0</v>
      </c>
      <c r="Z41" s="601">
        <f t="shared" si="24"/>
        <v>0</v>
      </c>
      <c r="AI41" s="883">
        <f t="shared" si="7"/>
        <v>0</v>
      </c>
    </row>
    <row r="42" spans="1:35" s="7" customFormat="1" ht="18.95" customHeight="1">
      <c r="A42" s="561">
        <v>5</v>
      </c>
      <c r="B42" s="562"/>
      <c r="C42" s="359"/>
      <c r="D42" s="359"/>
      <c r="E42" s="359"/>
      <c r="F42" s="568"/>
      <c r="G42" s="568"/>
      <c r="H42" s="568"/>
      <c r="I42" s="565">
        <f t="shared" si="17"/>
        <v>0</v>
      </c>
      <c r="J42" s="571"/>
      <c r="K42" s="568"/>
      <c r="L42" s="565">
        <f t="shared" si="18"/>
        <v>0</v>
      </c>
      <c r="M42" s="565">
        <f t="shared" si="19"/>
        <v>0</v>
      </c>
      <c r="N42" s="604"/>
      <c r="O42" s="358"/>
      <c r="P42" s="359"/>
      <c r="Q42" s="359"/>
      <c r="R42" s="568"/>
      <c r="S42" s="803">
        <f t="shared" si="20"/>
        <v>0</v>
      </c>
      <c r="T42" s="804"/>
      <c r="U42" s="565">
        <f t="shared" si="21"/>
        <v>0</v>
      </c>
      <c r="V42" s="571"/>
      <c r="W42" s="568"/>
      <c r="X42" s="565">
        <f t="shared" si="22"/>
        <v>0</v>
      </c>
      <c r="Y42" s="565">
        <f t="shared" si="23"/>
        <v>0</v>
      </c>
      <c r="Z42" s="601">
        <f>Y42+M42</f>
        <v>0</v>
      </c>
      <c r="AB42" s="886"/>
      <c r="AC42" s="886"/>
      <c r="AI42" s="883">
        <f t="shared" si="7"/>
        <v>0</v>
      </c>
    </row>
    <row r="43" spans="1:35" ht="20.100000000000001" customHeight="1">
      <c r="A43" s="1521" t="s">
        <v>752</v>
      </c>
      <c r="B43" s="1522"/>
      <c r="C43" s="560">
        <f>SUM(C38:C42)</f>
        <v>0</v>
      </c>
      <c r="D43" s="560">
        <f t="shared" ref="D43:Z43" si="25">SUM(D38:D42)</f>
        <v>0</v>
      </c>
      <c r="E43" s="560">
        <f t="shared" si="25"/>
        <v>0</v>
      </c>
      <c r="F43" s="560">
        <f t="shared" si="25"/>
        <v>0</v>
      </c>
      <c r="G43" s="560"/>
      <c r="H43" s="560">
        <f t="shared" si="25"/>
        <v>0</v>
      </c>
      <c r="I43" s="560">
        <f t="shared" si="25"/>
        <v>0</v>
      </c>
      <c r="J43" s="560">
        <f t="shared" si="25"/>
        <v>0</v>
      </c>
      <c r="K43" s="560">
        <f t="shared" si="25"/>
        <v>0</v>
      </c>
      <c r="L43" s="560">
        <f t="shared" si="25"/>
        <v>0</v>
      </c>
      <c r="M43" s="560">
        <f t="shared" si="25"/>
        <v>0</v>
      </c>
      <c r="N43" s="560">
        <f t="shared" si="25"/>
        <v>0</v>
      </c>
      <c r="O43" s="560">
        <f t="shared" si="25"/>
        <v>0</v>
      </c>
      <c r="P43" s="560">
        <f t="shared" si="25"/>
        <v>0</v>
      </c>
      <c r="Q43" s="560">
        <f t="shared" si="25"/>
        <v>0</v>
      </c>
      <c r="R43" s="560">
        <f t="shared" si="25"/>
        <v>0</v>
      </c>
      <c r="S43" s="560"/>
      <c r="T43" s="560">
        <f t="shared" si="25"/>
        <v>0</v>
      </c>
      <c r="U43" s="560">
        <f t="shared" si="25"/>
        <v>0</v>
      </c>
      <c r="V43" s="560">
        <f t="shared" si="25"/>
        <v>0</v>
      </c>
      <c r="W43" s="560">
        <f t="shared" si="25"/>
        <v>0</v>
      </c>
      <c r="X43" s="560">
        <f t="shared" si="25"/>
        <v>0</v>
      </c>
      <c r="Y43" s="560">
        <f t="shared" si="25"/>
        <v>0</v>
      </c>
      <c r="Z43" s="560">
        <f t="shared" si="25"/>
        <v>0</v>
      </c>
      <c r="AI43" s="883">
        <f t="shared" si="7"/>
        <v>0</v>
      </c>
    </row>
    <row r="44" spans="1:35" ht="15" customHeight="1">
      <c r="A44" s="1478" t="s">
        <v>741</v>
      </c>
      <c r="B44" s="1480"/>
      <c r="C44" s="24"/>
      <c r="D44" s="24"/>
      <c r="E44" s="24"/>
      <c r="F44" s="24"/>
      <c r="G44" s="24"/>
      <c r="H44" s="24"/>
      <c r="I44" s="25"/>
      <c r="J44" s="24"/>
      <c r="K44" s="24"/>
      <c r="L44" s="25"/>
      <c r="M44" s="24"/>
      <c r="N44" s="604"/>
      <c r="O44" s="24"/>
      <c r="P44" s="24"/>
      <c r="Q44" s="24"/>
      <c r="R44" s="24"/>
      <c r="S44" s="24"/>
      <c r="T44" s="24"/>
      <c r="U44" s="25"/>
      <c r="V44" s="24"/>
      <c r="W44" s="24"/>
      <c r="X44" s="25"/>
      <c r="Y44" s="24"/>
      <c r="Z44" s="600"/>
      <c r="AI44" s="883">
        <f t="shared" si="7"/>
        <v>0</v>
      </c>
    </row>
    <row r="45" spans="1:35" s="7" customFormat="1" ht="18.95" customHeight="1">
      <c r="A45" s="903">
        <v>1</v>
      </c>
      <c r="B45" s="904" t="s">
        <v>1321</v>
      </c>
      <c r="C45" s="569">
        <f>SUM('107 (a)'!C45*1.1)</f>
        <v>63.800000000000004</v>
      </c>
      <c r="D45" s="569">
        <f>SUM('107 (a)'!D45*1.1)</f>
        <v>56.1</v>
      </c>
      <c r="E45" s="569">
        <f>SUM('107 (a)'!E45*1.1)</f>
        <v>61.600000000000009</v>
      </c>
      <c r="F45" s="569">
        <f>SUM('107 (a)'!F45*1.1)</f>
        <v>70.400000000000006</v>
      </c>
      <c r="G45" s="569">
        <f>SUM('107 (a)'!G45*1.1)</f>
        <v>251.90000000000003</v>
      </c>
      <c r="H45" s="569">
        <f>SUM('107 (a)'!H45*1.1)</f>
        <v>189.20000000000002</v>
      </c>
      <c r="I45" s="569">
        <f>SUM('107 (a)'!I45*1.1)</f>
        <v>441.1</v>
      </c>
      <c r="J45" s="569">
        <f>SUM('107 (a)'!J45*1.1)</f>
        <v>34.1</v>
      </c>
      <c r="K45" s="569">
        <f>SUM('107 (a)'!K45*1.1)</f>
        <v>30.800000000000004</v>
      </c>
      <c r="L45" s="565">
        <f t="shared" ref="L45:L53" si="26">J45+K45</f>
        <v>64.900000000000006</v>
      </c>
      <c r="M45" s="565">
        <f t="shared" ref="M45:M53" si="27">I45+L45</f>
        <v>506</v>
      </c>
      <c r="N45" s="604"/>
      <c r="O45" s="569">
        <f>SUM('107 (a)'!O45*1.1)</f>
        <v>213.4</v>
      </c>
      <c r="P45" s="569">
        <f>SUM('107 (a)'!P45*1.1)</f>
        <v>166.10000000000002</v>
      </c>
      <c r="Q45" s="569">
        <f>SUM('107 (a)'!Q45*1.1)</f>
        <v>121.00000000000001</v>
      </c>
      <c r="R45" s="569">
        <f>SUM('107 (a)'!R45*1.1)</f>
        <v>0</v>
      </c>
      <c r="S45" s="569">
        <f>SUM('107 (a)'!S45*1.1)</f>
        <v>500.50000000000006</v>
      </c>
      <c r="T45" s="569">
        <f>SUM('107 (a)'!T45*1.1)</f>
        <v>129.80000000000001</v>
      </c>
      <c r="U45" s="565">
        <f t="shared" ref="U45:U53" si="28">+O45+P45+Q45+R45+T45</f>
        <v>630.29999999999995</v>
      </c>
      <c r="V45" s="569"/>
      <c r="W45" s="566"/>
      <c r="X45" s="565">
        <f t="shared" ref="X45:X53" si="29">V45+W45</f>
        <v>0</v>
      </c>
      <c r="Y45" s="565">
        <f t="shared" ref="Y45:Y53" si="30">U45+X45</f>
        <v>630.29999999999995</v>
      </c>
      <c r="Z45" s="601">
        <f t="shared" ref="Z45:Z53" si="31">Y45+M45</f>
        <v>1136.3</v>
      </c>
      <c r="AB45" s="886">
        <f>41700*2-500</f>
        <v>82900</v>
      </c>
      <c r="AC45" s="886">
        <f>56500*2-500</f>
        <v>112500</v>
      </c>
      <c r="AI45" s="883">
        <f t="shared" si="7"/>
        <v>0</v>
      </c>
    </row>
    <row r="46" spans="1:35" s="7" customFormat="1" ht="18.95" customHeight="1">
      <c r="A46" s="905">
        <v>2</v>
      </c>
      <c r="B46" s="904" t="s">
        <v>1322</v>
      </c>
      <c r="C46" s="569">
        <f>SUM('107 (a)'!C46*1.1)</f>
        <v>58.300000000000004</v>
      </c>
      <c r="D46" s="569">
        <f>SUM('107 (a)'!D46*1.1)</f>
        <v>68.2</v>
      </c>
      <c r="E46" s="569">
        <f>SUM('107 (a)'!E46*1.1)</f>
        <v>67.100000000000009</v>
      </c>
      <c r="F46" s="569">
        <f>SUM('107 (a)'!F46*1.1)</f>
        <v>59.400000000000006</v>
      </c>
      <c r="G46" s="569">
        <f>SUM('107 (a)'!G46*1.1)</f>
        <v>253.00000000000003</v>
      </c>
      <c r="H46" s="569">
        <f>SUM('107 (a)'!H46*1.1)</f>
        <v>39.6</v>
      </c>
      <c r="I46" s="569">
        <f>SUM('107 (a)'!I46*1.1)</f>
        <v>292.60000000000002</v>
      </c>
      <c r="J46" s="569">
        <f>SUM('107 (a)'!J46*1.1)</f>
        <v>0</v>
      </c>
      <c r="K46" s="569">
        <f>SUM('107 (a)'!K46*1.1)</f>
        <v>0</v>
      </c>
      <c r="L46" s="565">
        <f t="shared" si="26"/>
        <v>0</v>
      </c>
      <c r="M46" s="565">
        <f t="shared" si="27"/>
        <v>292.60000000000002</v>
      </c>
      <c r="N46" s="604"/>
      <c r="O46" s="569">
        <f>SUM('107 (a)'!O46*1.1)</f>
        <v>0</v>
      </c>
      <c r="P46" s="569">
        <f>SUM('107 (a)'!P46*1.1)</f>
        <v>0</v>
      </c>
      <c r="Q46" s="569">
        <f>SUM('107 (a)'!Q46*1.1)</f>
        <v>0</v>
      </c>
      <c r="R46" s="569">
        <f>SUM('107 (a)'!R46*1.1)</f>
        <v>0</v>
      </c>
      <c r="S46" s="569">
        <f>SUM('107 (a)'!S46*1.1)</f>
        <v>0</v>
      </c>
      <c r="T46" s="569">
        <f>SUM('107 (a)'!T46*1.1)</f>
        <v>0</v>
      </c>
      <c r="U46" s="565">
        <f t="shared" si="28"/>
        <v>0</v>
      </c>
      <c r="V46" s="570"/>
      <c r="W46" s="567"/>
      <c r="X46" s="565">
        <f t="shared" si="29"/>
        <v>0</v>
      </c>
      <c r="Y46" s="565">
        <f t="shared" si="30"/>
        <v>0</v>
      </c>
      <c r="Z46" s="601">
        <f t="shared" si="31"/>
        <v>292.60000000000002</v>
      </c>
      <c r="AB46" s="886"/>
      <c r="AC46" s="886"/>
      <c r="AI46" s="883">
        <f t="shared" si="7"/>
        <v>0</v>
      </c>
    </row>
    <row r="47" spans="1:35" s="7" customFormat="1" ht="18.95" customHeight="1">
      <c r="A47" s="903">
        <v>3</v>
      </c>
      <c r="B47" s="904" t="s">
        <v>1324</v>
      </c>
      <c r="C47" s="569">
        <f>SUM('107 (a)'!C47*1.1)</f>
        <v>0</v>
      </c>
      <c r="D47" s="569">
        <f>SUM('107 (a)'!D47*1.1)</f>
        <v>0</v>
      </c>
      <c r="E47" s="569">
        <f>SUM('107 (a)'!E47*1.1)</f>
        <v>0</v>
      </c>
      <c r="F47" s="569">
        <f>SUM('107 (a)'!F47*1.1)</f>
        <v>0</v>
      </c>
      <c r="G47" s="569">
        <f>SUM('107 (a)'!G47*1.1)</f>
        <v>0</v>
      </c>
      <c r="H47" s="569">
        <f>SUM('107 (a)'!H47*1.1)</f>
        <v>129.80000000000001</v>
      </c>
      <c r="I47" s="569">
        <f>SUM('107 (a)'!I47*1.1)</f>
        <v>129.80000000000001</v>
      </c>
      <c r="J47" s="569">
        <f>SUM('107 (a)'!J47*1.1)</f>
        <v>33</v>
      </c>
      <c r="K47" s="569">
        <f>SUM('107 (a)'!K47*1.1)</f>
        <v>0</v>
      </c>
      <c r="L47" s="565">
        <f t="shared" si="26"/>
        <v>33</v>
      </c>
      <c r="M47" s="565">
        <f t="shared" si="27"/>
        <v>162.80000000000001</v>
      </c>
      <c r="N47" s="604"/>
      <c r="O47" s="569">
        <f>SUM('107 (a)'!O47*1.1)</f>
        <v>0</v>
      </c>
      <c r="P47" s="569">
        <f>SUM('107 (a)'!P47*1.1)</f>
        <v>0</v>
      </c>
      <c r="Q47" s="569">
        <f>SUM('107 (a)'!Q47*1.1)</f>
        <v>0</v>
      </c>
      <c r="R47" s="569">
        <f>SUM('107 (a)'!R47*1.1)</f>
        <v>0</v>
      </c>
      <c r="S47" s="569">
        <f>SUM('107 (a)'!S47*1.1)</f>
        <v>0</v>
      </c>
      <c r="T47" s="569">
        <f>SUM('107 (a)'!T47*1.1)</f>
        <v>0</v>
      </c>
      <c r="U47" s="565">
        <f t="shared" si="28"/>
        <v>0</v>
      </c>
      <c r="V47" s="570"/>
      <c r="W47" s="567"/>
      <c r="X47" s="565">
        <f t="shared" si="29"/>
        <v>0</v>
      </c>
      <c r="Y47" s="565">
        <f t="shared" si="30"/>
        <v>0</v>
      </c>
      <c r="Z47" s="601">
        <f t="shared" si="31"/>
        <v>162.80000000000001</v>
      </c>
      <c r="AB47" s="886"/>
      <c r="AC47" s="886"/>
      <c r="AE47" s="746">
        <v>59</v>
      </c>
      <c r="AF47" s="7" t="s">
        <v>1347</v>
      </c>
      <c r="AI47" s="883">
        <f t="shared" si="7"/>
        <v>0</v>
      </c>
    </row>
    <row r="48" spans="1:35" s="7" customFormat="1" ht="18.95" customHeight="1">
      <c r="A48" s="905">
        <v>4</v>
      </c>
      <c r="B48" s="904" t="s">
        <v>372</v>
      </c>
      <c r="C48" s="569">
        <f>SUM('107 (a)'!C48*1.1)</f>
        <v>0</v>
      </c>
      <c r="D48" s="569">
        <f>SUM('107 (a)'!D48*1.1)</f>
        <v>0</v>
      </c>
      <c r="E48" s="569">
        <f>SUM('107 (a)'!E48*1.1)</f>
        <v>0</v>
      </c>
      <c r="F48" s="569">
        <f>SUM('107 (a)'!F48*1.1)</f>
        <v>0</v>
      </c>
      <c r="G48" s="569">
        <f>SUM('107 (a)'!G48*1.1)</f>
        <v>0</v>
      </c>
      <c r="H48" s="569">
        <f>SUM('107 (a)'!H48*1.1)</f>
        <v>114.4</v>
      </c>
      <c r="I48" s="569">
        <f>SUM('107 (a)'!I48*1.1)</f>
        <v>114.4</v>
      </c>
      <c r="J48" s="569">
        <f>SUM('107 (a)'!J48*1.1)</f>
        <v>0</v>
      </c>
      <c r="K48" s="569">
        <f>SUM('107 (a)'!K48*1.1)</f>
        <v>0</v>
      </c>
      <c r="L48" s="565">
        <f>J48+K48</f>
        <v>0</v>
      </c>
      <c r="M48" s="565">
        <f>I48+L48</f>
        <v>114.4</v>
      </c>
      <c r="N48" s="604"/>
      <c r="O48" s="569">
        <f>SUM('107 (a)'!O48*1.1)</f>
        <v>0</v>
      </c>
      <c r="P48" s="569">
        <f>SUM('107 (a)'!P48*1.1)</f>
        <v>0</v>
      </c>
      <c r="Q48" s="569">
        <f>SUM('107 (a)'!Q48*1.1)</f>
        <v>0</v>
      </c>
      <c r="R48" s="569">
        <f>SUM('107 (a)'!R48*1.1)</f>
        <v>0</v>
      </c>
      <c r="S48" s="569">
        <f>SUM('107 (a)'!S48*1.1)</f>
        <v>0</v>
      </c>
      <c r="T48" s="569">
        <f>SUM('107 (a)'!T48*1.1)</f>
        <v>0</v>
      </c>
      <c r="U48" s="565">
        <f t="shared" si="28"/>
        <v>0</v>
      </c>
      <c r="V48" s="570"/>
      <c r="W48" s="567"/>
      <c r="X48" s="565">
        <f>V48+W48</f>
        <v>0</v>
      </c>
      <c r="Y48" s="565">
        <f>U48+X48</f>
        <v>0</v>
      </c>
      <c r="Z48" s="601">
        <f t="shared" si="31"/>
        <v>114.4</v>
      </c>
      <c r="AB48" s="886"/>
      <c r="AC48" s="886"/>
      <c r="AE48" s="7">
        <f>49+3</f>
        <v>52</v>
      </c>
      <c r="AF48" s="7" t="s">
        <v>1347</v>
      </c>
      <c r="AI48" s="883">
        <f t="shared" si="7"/>
        <v>0</v>
      </c>
    </row>
    <row r="49" spans="1:35" s="7" customFormat="1" ht="18.95" customHeight="1">
      <c r="A49" s="903">
        <v>5</v>
      </c>
      <c r="B49" s="904" t="s">
        <v>1312</v>
      </c>
      <c r="C49" s="569">
        <f>SUM('107 (a)'!C49*1.1)</f>
        <v>62.7</v>
      </c>
      <c r="D49" s="569">
        <f>SUM('107 (a)'!D49*1.1)</f>
        <v>66</v>
      </c>
      <c r="E49" s="569">
        <f>SUM('107 (a)'!E49*1.1)</f>
        <v>58.300000000000004</v>
      </c>
      <c r="F49" s="569">
        <f>SUM('107 (a)'!F49*1.1)</f>
        <v>77</v>
      </c>
      <c r="G49" s="569">
        <f>SUM('107 (a)'!G49*1.1)</f>
        <v>264</v>
      </c>
      <c r="H49" s="569">
        <f>SUM('107 (a)'!H49*1.1)</f>
        <v>92.4</v>
      </c>
      <c r="I49" s="569">
        <f>SUM('107 (a)'!I49*1.1)</f>
        <v>356.40000000000003</v>
      </c>
      <c r="J49" s="569">
        <f>SUM('107 (a)'!J49*1.1)</f>
        <v>50.6</v>
      </c>
      <c r="K49" s="569">
        <f>SUM('107 (a)'!K49*1.1)</f>
        <v>23.1</v>
      </c>
      <c r="L49" s="565">
        <f>J49+K49</f>
        <v>73.7</v>
      </c>
      <c r="M49" s="565">
        <f>I49+L49</f>
        <v>430.1</v>
      </c>
      <c r="N49" s="604"/>
      <c r="O49" s="569">
        <f>SUM('107 (a)'!O49*1.1)</f>
        <v>53.900000000000006</v>
      </c>
      <c r="P49" s="569">
        <f>SUM('107 (a)'!P49*1.1)</f>
        <v>85.800000000000011</v>
      </c>
      <c r="Q49" s="569">
        <f>SUM('107 (a)'!Q49*1.1)</f>
        <v>49.500000000000007</v>
      </c>
      <c r="R49" s="569">
        <f>SUM('107 (a)'!R49*1.1)</f>
        <v>55.000000000000007</v>
      </c>
      <c r="S49" s="569">
        <f>SUM('107 (a)'!S49*1.1)</f>
        <v>244.20000000000002</v>
      </c>
      <c r="T49" s="569">
        <f>SUM('107 (a)'!T49*1.1)</f>
        <v>0</v>
      </c>
      <c r="U49" s="565">
        <f t="shared" si="28"/>
        <v>244.20000000000002</v>
      </c>
      <c r="V49" s="569"/>
      <c r="W49" s="566"/>
      <c r="X49" s="565">
        <f>V49+W49</f>
        <v>0</v>
      </c>
      <c r="Y49" s="565">
        <f>U49+X49</f>
        <v>244.20000000000002</v>
      </c>
      <c r="Z49" s="601">
        <f t="shared" si="31"/>
        <v>674.30000000000007</v>
      </c>
      <c r="AB49" s="886">
        <f>52700*2-500</f>
        <v>104900</v>
      </c>
      <c r="AC49" s="886"/>
      <c r="AI49" s="883">
        <f t="shared" si="7"/>
        <v>0</v>
      </c>
    </row>
    <row r="50" spans="1:35" s="7" customFormat="1" ht="28.5">
      <c r="A50" s="905">
        <v>6</v>
      </c>
      <c r="B50" s="904" t="s">
        <v>1313</v>
      </c>
      <c r="C50" s="569">
        <f>SUM('107 (a)'!C50*1.1)</f>
        <v>56.1</v>
      </c>
      <c r="D50" s="569">
        <f>SUM('107 (a)'!D50*1.1)</f>
        <v>42.900000000000006</v>
      </c>
      <c r="E50" s="569">
        <f>SUM('107 (a)'!E50*1.1)</f>
        <v>0</v>
      </c>
      <c r="F50" s="569">
        <f>SUM('107 (a)'!F50*1.1)</f>
        <v>0</v>
      </c>
      <c r="G50" s="569">
        <f>SUM('107 (a)'!G50*1.1)</f>
        <v>99.000000000000014</v>
      </c>
      <c r="H50" s="569">
        <f>SUM('107 (a)'!H50*1.1)</f>
        <v>0</v>
      </c>
      <c r="I50" s="569">
        <f>SUM('107 (a)'!I50*1.1)</f>
        <v>99.000000000000014</v>
      </c>
      <c r="J50" s="569">
        <f>SUM('107 (a)'!J50*1.1)</f>
        <v>0</v>
      </c>
      <c r="K50" s="569">
        <f>SUM('107 (a)'!K50*1.1)</f>
        <v>0</v>
      </c>
      <c r="L50" s="565">
        <f>J50+K50</f>
        <v>0</v>
      </c>
      <c r="M50" s="565">
        <f>I50+L50</f>
        <v>99.000000000000014</v>
      </c>
      <c r="N50" s="604"/>
      <c r="O50" s="569">
        <f>SUM('107 (a)'!O50*1.1)</f>
        <v>0</v>
      </c>
      <c r="P50" s="569">
        <f>SUM('107 (a)'!P50*1.1)</f>
        <v>0</v>
      </c>
      <c r="Q50" s="569">
        <f>SUM('107 (a)'!Q50*1.1)</f>
        <v>0</v>
      </c>
      <c r="R50" s="569">
        <f>SUM('107 (a)'!R50*1.1)</f>
        <v>0</v>
      </c>
      <c r="S50" s="569">
        <f>SUM('107 (a)'!S50*1.1)</f>
        <v>0</v>
      </c>
      <c r="T50" s="569">
        <f>SUM('107 (a)'!T50*1.1)</f>
        <v>0</v>
      </c>
      <c r="U50" s="565">
        <f t="shared" si="28"/>
        <v>0</v>
      </c>
      <c r="V50" s="569"/>
      <c r="W50" s="566"/>
      <c r="X50" s="565">
        <f>V50+W50</f>
        <v>0</v>
      </c>
      <c r="Y50" s="565">
        <f>U50+X50</f>
        <v>0</v>
      </c>
      <c r="Z50" s="601">
        <f t="shared" si="31"/>
        <v>99.000000000000014</v>
      </c>
      <c r="AB50" s="886"/>
      <c r="AC50" s="886"/>
      <c r="AI50" s="883">
        <f t="shared" si="7"/>
        <v>0</v>
      </c>
    </row>
    <row r="51" spans="1:35" s="7" customFormat="1" ht="18.95" customHeight="1">
      <c r="A51" s="903">
        <v>7</v>
      </c>
      <c r="B51" s="904" t="s">
        <v>1344</v>
      </c>
      <c r="C51" s="569">
        <f>SUM('107 (a)'!C51*1.1)</f>
        <v>26.400000000000002</v>
      </c>
      <c r="D51" s="569">
        <f>SUM('107 (a)'!D51*1.1)</f>
        <v>0</v>
      </c>
      <c r="E51" s="569">
        <f>SUM('107 (a)'!E51*1.1)</f>
        <v>0</v>
      </c>
      <c r="F51" s="569">
        <f>SUM('107 (a)'!F51*1.1)</f>
        <v>0</v>
      </c>
      <c r="G51" s="569">
        <f>SUM('107 (a)'!G51*1.1)</f>
        <v>26.400000000000002</v>
      </c>
      <c r="H51" s="569">
        <f>SUM('107 (a)'!H51*1.1)</f>
        <v>0</v>
      </c>
      <c r="I51" s="569">
        <f>SUM('107 (a)'!I51*1.1)</f>
        <v>26.400000000000002</v>
      </c>
      <c r="J51" s="569">
        <f>SUM('107 (a)'!J51*1.1)</f>
        <v>0</v>
      </c>
      <c r="K51" s="569">
        <f>SUM('107 (a)'!K51*1.1)</f>
        <v>0</v>
      </c>
      <c r="L51" s="565">
        <f>J51+K51</f>
        <v>0</v>
      </c>
      <c r="M51" s="565">
        <f>I51+L51</f>
        <v>26.400000000000002</v>
      </c>
      <c r="N51" s="604"/>
      <c r="O51" s="569">
        <f>SUM('107 (a)'!O51*1.1)</f>
        <v>0</v>
      </c>
      <c r="P51" s="569">
        <f>SUM('107 (a)'!P51*1.1)</f>
        <v>0</v>
      </c>
      <c r="Q51" s="569">
        <f>SUM('107 (a)'!Q51*1.1)</f>
        <v>0</v>
      </c>
      <c r="R51" s="569">
        <f>SUM('107 (a)'!R51*1.1)</f>
        <v>0</v>
      </c>
      <c r="S51" s="569">
        <f>SUM('107 (a)'!S51*1.1)</f>
        <v>0</v>
      </c>
      <c r="T51" s="569">
        <f>SUM('107 (a)'!T51*1.1)</f>
        <v>0</v>
      </c>
      <c r="U51" s="565">
        <f t="shared" si="28"/>
        <v>0</v>
      </c>
      <c r="V51" s="570"/>
      <c r="W51" s="567"/>
      <c r="X51" s="565">
        <f>V51+W51</f>
        <v>0</v>
      </c>
      <c r="Y51" s="565">
        <f>U51+X51</f>
        <v>0</v>
      </c>
      <c r="Z51" s="601">
        <f t="shared" si="31"/>
        <v>26.400000000000002</v>
      </c>
      <c r="AB51" s="886"/>
      <c r="AC51" s="886"/>
      <c r="AI51" s="883">
        <f t="shared" si="7"/>
        <v>0</v>
      </c>
    </row>
    <row r="52" spans="1:35" s="7" customFormat="1" ht="18.95" customHeight="1">
      <c r="A52" s="905">
        <v>10</v>
      </c>
      <c r="B52" s="904" t="s">
        <v>423</v>
      </c>
      <c r="C52" s="569">
        <f>SUM('107 (a)'!C52*1.1)</f>
        <v>34.1</v>
      </c>
      <c r="D52" s="569">
        <f>SUM('107 (a)'!D52*1.1)</f>
        <v>46.2</v>
      </c>
      <c r="E52" s="569">
        <f>SUM('107 (a)'!E52*1.1)</f>
        <v>25.3</v>
      </c>
      <c r="F52" s="569">
        <f>SUM('107 (a)'!F52*1.1)</f>
        <v>19.8</v>
      </c>
      <c r="G52" s="569">
        <f>SUM('107 (a)'!G52*1.1)</f>
        <v>125.4</v>
      </c>
      <c r="H52" s="569">
        <f>SUM('107 (a)'!H52*1.1)</f>
        <v>39.6</v>
      </c>
      <c r="I52" s="569">
        <f>SUM('107 (a)'!I52*1.1)</f>
        <v>165</v>
      </c>
      <c r="J52" s="569">
        <f>SUM('107 (a)'!J52*1.1)</f>
        <v>33</v>
      </c>
      <c r="K52" s="569">
        <f>SUM('107 (a)'!K52*1.1)</f>
        <v>17.600000000000001</v>
      </c>
      <c r="L52" s="565">
        <f>J52+K52</f>
        <v>50.6</v>
      </c>
      <c r="M52" s="565">
        <f>I52+L52</f>
        <v>215.6</v>
      </c>
      <c r="N52" s="604"/>
      <c r="O52" s="569">
        <f>SUM('107 (a)'!O52*1.1)</f>
        <v>0</v>
      </c>
      <c r="P52" s="569">
        <f>SUM('107 (a)'!P52*1.1)</f>
        <v>0</v>
      </c>
      <c r="Q52" s="569">
        <f>SUM('107 (a)'!Q52*1.1)</f>
        <v>0</v>
      </c>
      <c r="R52" s="569">
        <f>SUM('107 (a)'!R52*1.1)</f>
        <v>0</v>
      </c>
      <c r="S52" s="569">
        <f>SUM('107 (a)'!S52*1.1)</f>
        <v>0</v>
      </c>
      <c r="T52" s="569">
        <f>SUM('107 (a)'!T52*1.1)</f>
        <v>0</v>
      </c>
      <c r="U52" s="565">
        <f t="shared" si="28"/>
        <v>0</v>
      </c>
      <c r="V52" s="570"/>
      <c r="W52" s="567"/>
      <c r="X52" s="565">
        <f>V52+W52</f>
        <v>0</v>
      </c>
      <c r="Y52" s="565">
        <f>U52+X52</f>
        <v>0</v>
      </c>
      <c r="Z52" s="601">
        <f t="shared" si="31"/>
        <v>215.6</v>
      </c>
      <c r="AB52" s="886"/>
      <c r="AC52" s="886"/>
      <c r="AE52" s="7">
        <f>14+4</f>
        <v>18</v>
      </c>
      <c r="AF52" s="7" t="s">
        <v>1350</v>
      </c>
      <c r="AI52" s="883">
        <f t="shared" si="7"/>
        <v>0</v>
      </c>
    </row>
    <row r="53" spans="1:35" s="7" customFormat="1" ht="18.95" customHeight="1">
      <c r="A53" s="903">
        <v>11</v>
      </c>
      <c r="B53" s="906"/>
      <c r="C53" s="569">
        <f>SUM('107 (a)'!C53*1.1)</f>
        <v>0</v>
      </c>
      <c r="D53" s="569">
        <f>SUM('107 (a)'!D53*1.1)</f>
        <v>0</v>
      </c>
      <c r="E53" s="569">
        <f>SUM('107 (a)'!E53*1.1)</f>
        <v>0</v>
      </c>
      <c r="F53" s="569">
        <f>SUM('107 (a)'!F53*1.1)</f>
        <v>0</v>
      </c>
      <c r="G53" s="569">
        <f>SUM('107 (a)'!G53*1.1)</f>
        <v>0</v>
      </c>
      <c r="H53" s="569">
        <f>SUM('107 (a)'!H53*1.1)</f>
        <v>0</v>
      </c>
      <c r="I53" s="569">
        <f>SUM('107 (a)'!I53*1.1)</f>
        <v>0</v>
      </c>
      <c r="J53" s="569">
        <f>SUM('107 (a)'!J53*1.1)</f>
        <v>0</v>
      </c>
      <c r="K53" s="569">
        <f>SUM('107 (a)'!K53*1.1)</f>
        <v>0</v>
      </c>
      <c r="L53" s="565">
        <f t="shared" si="26"/>
        <v>0</v>
      </c>
      <c r="M53" s="565">
        <f t="shared" si="27"/>
        <v>0</v>
      </c>
      <c r="N53" s="604"/>
      <c r="O53" s="569">
        <f>SUM('107 (a)'!O53*1.1)</f>
        <v>0</v>
      </c>
      <c r="P53" s="569">
        <f>SUM('107 (a)'!P53*1.1)</f>
        <v>0</v>
      </c>
      <c r="Q53" s="569">
        <f>SUM('107 (a)'!Q53*1.1)</f>
        <v>0</v>
      </c>
      <c r="R53" s="569">
        <f>SUM('107 (a)'!R53*1.1)</f>
        <v>0</v>
      </c>
      <c r="S53" s="569">
        <f>SUM('107 (a)'!S53*1.1)</f>
        <v>0</v>
      </c>
      <c r="T53" s="569">
        <f>SUM('107 (a)'!T53*1.1)</f>
        <v>0</v>
      </c>
      <c r="U53" s="565">
        <f t="shared" si="28"/>
        <v>0</v>
      </c>
      <c r="V53" s="571"/>
      <c r="W53" s="568"/>
      <c r="X53" s="565">
        <f t="shared" si="29"/>
        <v>0</v>
      </c>
      <c r="Y53" s="565">
        <f t="shared" si="30"/>
        <v>0</v>
      </c>
      <c r="Z53" s="601">
        <f t="shared" si="31"/>
        <v>0</v>
      </c>
      <c r="AB53" s="886"/>
      <c r="AC53" s="886"/>
      <c r="AI53" s="883">
        <f t="shared" si="7"/>
        <v>0</v>
      </c>
    </row>
    <row r="54" spans="1:35" ht="20.100000000000001" customHeight="1">
      <c r="A54" s="1521" t="s">
        <v>752</v>
      </c>
      <c r="B54" s="1522"/>
      <c r="C54" s="856">
        <f>SUM(C45:C52)</f>
        <v>301.40000000000003</v>
      </c>
      <c r="D54" s="856">
        <f t="shared" ref="D54:Z54" si="32">SUM(D45:D52)</f>
        <v>279.40000000000003</v>
      </c>
      <c r="E54" s="856">
        <f t="shared" si="32"/>
        <v>212.30000000000004</v>
      </c>
      <c r="F54" s="856">
        <f t="shared" si="32"/>
        <v>226.60000000000002</v>
      </c>
      <c r="G54" s="856">
        <f t="shared" si="32"/>
        <v>1019.7</v>
      </c>
      <c r="H54" s="856">
        <f t="shared" si="32"/>
        <v>605</v>
      </c>
      <c r="I54" s="856">
        <f t="shared" si="32"/>
        <v>1624.7</v>
      </c>
      <c r="J54" s="856">
        <f t="shared" si="32"/>
        <v>150.69999999999999</v>
      </c>
      <c r="K54" s="856">
        <f t="shared" si="32"/>
        <v>71.5</v>
      </c>
      <c r="L54" s="856">
        <f t="shared" si="32"/>
        <v>222.20000000000002</v>
      </c>
      <c r="M54" s="856">
        <f t="shared" si="32"/>
        <v>1846.9</v>
      </c>
      <c r="N54" s="856">
        <f t="shared" si="32"/>
        <v>0</v>
      </c>
      <c r="O54" s="856">
        <f t="shared" si="32"/>
        <v>267.3</v>
      </c>
      <c r="P54" s="856">
        <f t="shared" si="32"/>
        <v>251.90000000000003</v>
      </c>
      <c r="Q54" s="856">
        <f t="shared" si="32"/>
        <v>170.50000000000003</v>
      </c>
      <c r="R54" s="856">
        <f t="shared" si="32"/>
        <v>55.000000000000007</v>
      </c>
      <c r="S54" s="856"/>
      <c r="T54" s="856">
        <f t="shared" si="32"/>
        <v>129.80000000000001</v>
      </c>
      <c r="U54" s="856">
        <f t="shared" si="32"/>
        <v>874.5</v>
      </c>
      <c r="V54" s="856">
        <f t="shared" si="32"/>
        <v>0</v>
      </c>
      <c r="W54" s="856">
        <f t="shared" si="32"/>
        <v>0</v>
      </c>
      <c r="X54" s="856">
        <f t="shared" si="32"/>
        <v>0</v>
      </c>
      <c r="Y54" s="856">
        <f t="shared" si="32"/>
        <v>874.5</v>
      </c>
      <c r="Z54" s="856">
        <f t="shared" si="32"/>
        <v>2721.4</v>
      </c>
      <c r="AI54" s="883">
        <f t="shared" si="7"/>
        <v>0</v>
      </c>
    </row>
    <row r="55" spans="1:35" ht="15" customHeight="1">
      <c r="A55" s="1478" t="s">
        <v>890</v>
      </c>
      <c r="B55" s="1480"/>
      <c r="C55" s="24"/>
      <c r="D55" s="24"/>
      <c r="E55" s="24"/>
      <c r="F55" s="24"/>
      <c r="G55" s="24"/>
      <c r="H55" s="24"/>
      <c r="I55" s="25"/>
      <c r="J55" s="24"/>
      <c r="K55" s="24"/>
      <c r="L55" s="25"/>
      <c r="M55" s="24"/>
      <c r="N55" s="604"/>
      <c r="O55" s="24"/>
      <c r="P55" s="24"/>
      <c r="Q55" s="24"/>
      <c r="R55" s="24"/>
      <c r="S55" s="24"/>
      <c r="T55" s="24"/>
      <c r="U55" s="25"/>
      <c r="V55" s="24"/>
      <c r="W55" s="24"/>
      <c r="X55" s="25"/>
      <c r="Y55" s="24"/>
      <c r="Z55" s="600"/>
      <c r="AI55" s="883">
        <f t="shared" si="7"/>
        <v>0</v>
      </c>
    </row>
    <row r="56" spans="1:35" s="7" customFormat="1" ht="18.95" customHeight="1">
      <c r="A56" s="903">
        <v>1</v>
      </c>
      <c r="B56" s="904" t="s">
        <v>1325</v>
      </c>
      <c r="C56" s="569">
        <f>SUM('107 (a)'!C56*1.1)</f>
        <v>48.400000000000006</v>
      </c>
      <c r="D56" s="569">
        <f>SUM('107 (a)'!D56*1.1)</f>
        <v>53.900000000000006</v>
      </c>
      <c r="E56" s="569">
        <f>SUM('107 (a)'!E56*1.1)</f>
        <v>49.500000000000007</v>
      </c>
      <c r="F56" s="569">
        <f>SUM('107 (a)'!F56*1.1)</f>
        <v>40.700000000000003</v>
      </c>
      <c r="G56" s="569">
        <f>SUM('107 (a)'!G56*1.1)</f>
        <v>192.50000000000003</v>
      </c>
      <c r="H56" s="569">
        <f>SUM('107 (a)'!H56*1.1)</f>
        <v>92.4</v>
      </c>
      <c r="I56" s="569">
        <f>SUM('107 (a)'!I56*1.1)</f>
        <v>284.90000000000003</v>
      </c>
      <c r="J56" s="569">
        <f>SUM('107 (a)'!J56*1.1)</f>
        <v>31.900000000000002</v>
      </c>
      <c r="K56" s="569">
        <f>SUM('107 (a)'!K56*1.1)</f>
        <v>41.800000000000004</v>
      </c>
      <c r="L56" s="565">
        <f>J56+K56</f>
        <v>73.7</v>
      </c>
      <c r="M56" s="565">
        <f>I56+L56</f>
        <v>358.6</v>
      </c>
      <c r="N56" s="604"/>
      <c r="O56" s="569">
        <f>SUM('107 (a)'!O56*1.1)</f>
        <v>36.300000000000004</v>
      </c>
      <c r="P56" s="569">
        <f>SUM('107 (a)'!P56*1.1)</f>
        <v>0</v>
      </c>
      <c r="Q56" s="569">
        <f>SUM('107 (a)'!Q56*1.1)</f>
        <v>2.2000000000000002</v>
      </c>
      <c r="R56" s="569">
        <f>SUM('107 (a)'!R56*1.1)</f>
        <v>0</v>
      </c>
      <c r="S56" s="569">
        <f>SUM('107 (a)'!S56*1.1)</f>
        <v>38.5</v>
      </c>
      <c r="T56" s="569">
        <f>SUM('107 (a)'!T56*1.1)</f>
        <v>16.5</v>
      </c>
      <c r="U56" s="565">
        <f t="shared" ref="U56:U68" si="33">+O56+P56+Q56+R56+T56</f>
        <v>55.000000000000007</v>
      </c>
      <c r="V56" s="569"/>
      <c r="W56" s="566"/>
      <c r="X56" s="565">
        <f>V56+W56</f>
        <v>0</v>
      </c>
      <c r="Y56" s="565">
        <f>U56+X56</f>
        <v>55.000000000000007</v>
      </c>
      <c r="Z56" s="601">
        <f>Y56+M56</f>
        <v>413.6</v>
      </c>
      <c r="AB56" s="886">
        <f>52700*2-500</f>
        <v>104900</v>
      </c>
      <c r="AC56" s="886">
        <f>97500</f>
        <v>97500</v>
      </c>
      <c r="AI56" s="883">
        <f t="shared" si="7"/>
        <v>0</v>
      </c>
    </row>
    <row r="57" spans="1:35" s="7" customFormat="1" ht="18.95" customHeight="1">
      <c r="A57" s="905">
        <v>2</v>
      </c>
      <c r="B57" s="904" t="s">
        <v>406</v>
      </c>
      <c r="C57" s="569">
        <f>SUM('107 (a)'!C57*1.1)</f>
        <v>57.2</v>
      </c>
      <c r="D57" s="569">
        <f>SUM('107 (a)'!D57*1.1)</f>
        <v>51.7</v>
      </c>
      <c r="E57" s="569">
        <f>SUM('107 (a)'!E57*1.1)</f>
        <v>47.300000000000004</v>
      </c>
      <c r="F57" s="569">
        <f>SUM('107 (a)'!F57*1.1)</f>
        <v>59.400000000000006</v>
      </c>
      <c r="G57" s="569">
        <f>SUM('107 (a)'!G57*1.1)</f>
        <v>215.60000000000002</v>
      </c>
      <c r="H57" s="569">
        <f>SUM('107 (a)'!H57*1.1)</f>
        <v>151.80000000000001</v>
      </c>
      <c r="I57" s="569">
        <f>SUM('107 (a)'!I57*1.1)</f>
        <v>367.40000000000003</v>
      </c>
      <c r="J57" s="569">
        <f>SUM('107 (a)'!J57*1.1)</f>
        <v>189.20000000000002</v>
      </c>
      <c r="K57" s="569">
        <f>SUM('107 (a)'!K57*1.1)</f>
        <v>60.500000000000007</v>
      </c>
      <c r="L57" s="565">
        <f t="shared" ref="L57:L68" si="34">J57+K57</f>
        <v>249.70000000000002</v>
      </c>
      <c r="M57" s="565">
        <f t="shared" ref="M57:M68" si="35">I57+L57</f>
        <v>617.1</v>
      </c>
      <c r="N57" s="604"/>
      <c r="O57" s="569">
        <f>SUM('107 (a)'!O57*1.1)</f>
        <v>106.7</v>
      </c>
      <c r="P57" s="569">
        <f>SUM('107 (a)'!P57*1.1)</f>
        <v>89.100000000000009</v>
      </c>
      <c r="Q57" s="569">
        <f>SUM('107 (a)'!Q57*1.1)</f>
        <v>83.600000000000009</v>
      </c>
      <c r="R57" s="569">
        <f>SUM('107 (a)'!R57*1.1)</f>
        <v>11</v>
      </c>
      <c r="S57" s="569">
        <f>SUM('107 (a)'!S57*1.1)</f>
        <v>290.40000000000003</v>
      </c>
      <c r="T57" s="569">
        <f>SUM('107 (a)'!T57*1.1)</f>
        <v>66</v>
      </c>
      <c r="U57" s="565">
        <f t="shared" si="33"/>
        <v>356.40000000000003</v>
      </c>
      <c r="V57" s="569"/>
      <c r="W57" s="566"/>
      <c r="X57" s="565">
        <f t="shared" ref="X57:X68" si="36">V57+W57</f>
        <v>0</v>
      </c>
      <c r="Y57" s="565">
        <f t="shared" ref="Y57:Y68" si="37">U57+X57</f>
        <v>356.40000000000003</v>
      </c>
      <c r="Z57" s="601">
        <f t="shared" ref="Z57:Z68" si="38">Y57+M57</f>
        <v>973.5</v>
      </c>
      <c r="AB57" s="886">
        <f>52700*2-500</f>
        <v>104900</v>
      </c>
      <c r="AC57" s="886">
        <f>97500</f>
        <v>97500</v>
      </c>
      <c r="AE57" s="7">
        <f>37+32</f>
        <v>69</v>
      </c>
      <c r="AF57" s="7">
        <f>21+9</f>
        <v>30</v>
      </c>
      <c r="AG57" s="7" t="s">
        <v>1405</v>
      </c>
      <c r="AI57" s="883">
        <f t="shared" si="7"/>
        <v>0</v>
      </c>
    </row>
    <row r="58" spans="1:35" s="7" customFormat="1" ht="28.5">
      <c r="A58" s="903">
        <v>3</v>
      </c>
      <c r="B58" s="904" t="s">
        <v>1327</v>
      </c>
      <c r="C58" s="569">
        <f>SUM('107 (a)'!C58*1.1)</f>
        <v>0</v>
      </c>
      <c r="D58" s="569">
        <f>SUM('107 (a)'!D58*1.1)</f>
        <v>0</v>
      </c>
      <c r="E58" s="569">
        <f>SUM('107 (a)'!E58*1.1)</f>
        <v>0</v>
      </c>
      <c r="F58" s="569">
        <f>SUM('107 (a)'!F58*1.1)</f>
        <v>0</v>
      </c>
      <c r="G58" s="569">
        <f>SUM('107 (a)'!G58*1.1)</f>
        <v>0</v>
      </c>
      <c r="H58" s="569">
        <f>SUM('107 (a)'!H58*1.1)</f>
        <v>0</v>
      </c>
      <c r="I58" s="569">
        <f>SUM('107 (a)'!I58*1.1)</f>
        <v>0</v>
      </c>
      <c r="J58" s="569">
        <f>SUM('107 (a)'!J58*1.1)</f>
        <v>14.3</v>
      </c>
      <c r="K58" s="569">
        <f>SUM('107 (a)'!K58*1.1)</f>
        <v>6.6000000000000005</v>
      </c>
      <c r="L58" s="565">
        <f t="shared" si="34"/>
        <v>20.900000000000002</v>
      </c>
      <c r="M58" s="565">
        <f t="shared" si="35"/>
        <v>20.900000000000002</v>
      </c>
      <c r="N58" s="604"/>
      <c r="O58" s="569">
        <f>SUM('107 (a)'!O58*1.1)</f>
        <v>0</v>
      </c>
      <c r="P58" s="569">
        <f>SUM('107 (a)'!P58*1.1)</f>
        <v>0</v>
      </c>
      <c r="Q58" s="569">
        <f>SUM('107 (a)'!Q58*1.1)</f>
        <v>0</v>
      </c>
      <c r="R58" s="569">
        <f>SUM('107 (a)'!R58*1.1)</f>
        <v>0</v>
      </c>
      <c r="S58" s="569">
        <f>SUM('107 (a)'!S58*1.1)</f>
        <v>0</v>
      </c>
      <c r="T58" s="569">
        <f>SUM('107 (a)'!T58*1.1)</f>
        <v>0</v>
      </c>
      <c r="U58" s="565">
        <f t="shared" si="33"/>
        <v>0</v>
      </c>
      <c r="V58" s="569"/>
      <c r="W58" s="566"/>
      <c r="X58" s="565">
        <f t="shared" si="36"/>
        <v>0</v>
      </c>
      <c r="Y58" s="565">
        <f t="shared" si="37"/>
        <v>0</v>
      </c>
      <c r="Z58" s="601">
        <f t="shared" si="38"/>
        <v>20.900000000000002</v>
      </c>
      <c r="AB58" s="886"/>
      <c r="AC58" s="886"/>
      <c r="AI58" s="883">
        <f t="shared" si="7"/>
        <v>0</v>
      </c>
    </row>
    <row r="59" spans="1:35" s="7" customFormat="1" ht="18.95" customHeight="1">
      <c r="A59" s="905">
        <v>4</v>
      </c>
      <c r="B59" s="904" t="s">
        <v>1328</v>
      </c>
      <c r="C59" s="569">
        <f>SUM('107 (a)'!C59*1.1)</f>
        <v>38.5</v>
      </c>
      <c r="D59" s="569">
        <f>SUM('107 (a)'!D59*1.1)</f>
        <v>50.6</v>
      </c>
      <c r="E59" s="569">
        <f>SUM('107 (a)'!E59*1.1)</f>
        <v>38.5</v>
      </c>
      <c r="F59" s="569">
        <f>SUM('107 (a)'!F59*1.1)</f>
        <v>37.400000000000006</v>
      </c>
      <c r="G59" s="569">
        <f>SUM('107 (a)'!G59*1.1)</f>
        <v>165</v>
      </c>
      <c r="H59" s="569">
        <f>SUM('107 (a)'!H59*1.1)</f>
        <v>77</v>
      </c>
      <c r="I59" s="569">
        <f>SUM('107 (a)'!I59*1.1)</f>
        <v>242.00000000000003</v>
      </c>
      <c r="J59" s="569">
        <f>SUM('107 (a)'!J59*1.1)</f>
        <v>72.600000000000009</v>
      </c>
      <c r="K59" s="569">
        <f>SUM('107 (a)'!K59*1.1)</f>
        <v>45.1</v>
      </c>
      <c r="L59" s="565">
        <f t="shared" si="34"/>
        <v>117.70000000000002</v>
      </c>
      <c r="M59" s="565">
        <f t="shared" si="35"/>
        <v>359.70000000000005</v>
      </c>
      <c r="N59" s="604"/>
      <c r="O59" s="569">
        <f>SUM('107 (a)'!O59*1.1)</f>
        <v>9.9</v>
      </c>
      <c r="P59" s="569">
        <f>SUM('107 (a)'!P59*1.1)</f>
        <v>19.8</v>
      </c>
      <c r="Q59" s="569">
        <f>SUM('107 (a)'!Q59*1.1)</f>
        <v>0</v>
      </c>
      <c r="R59" s="569">
        <f>SUM('107 (a)'!R59*1.1)</f>
        <v>8.8000000000000007</v>
      </c>
      <c r="S59" s="569">
        <f>SUM('107 (a)'!S59*1.1)</f>
        <v>38.5</v>
      </c>
      <c r="T59" s="569">
        <f>SUM('107 (a)'!T59*1.1)</f>
        <v>0</v>
      </c>
      <c r="U59" s="565">
        <f t="shared" si="33"/>
        <v>38.5</v>
      </c>
      <c r="V59" s="569"/>
      <c r="W59" s="566"/>
      <c r="X59" s="565">
        <f t="shared" si="36"/>
        <v>0</v>
      </c>
      <c r="Y59" s="565">
        <f t="shared" si="37"/>
        <v>38.5</v>
      </c>
      <c r="Z59" s="601">
        <f t="shared" si="38"/>
        <v>398.20000000000005</v>
      </c>
      <c r="AB59" s="886">
        <f t="shared" ref="AB59:AB60" si="39">52700*2-500</f>
        <v>104900</v>
      </c>
      <c r="AC59" s="886"/>
      <c r="AI59" s="883">
        <f t="shared" si="7"/>
        <v>0</v>
      </c>
    </row>
    <row r="60" spans="1:35" s="7" customFormat="1" ht="18.95" customHeight="1">
      <c r="A60" s="903">
        <v>5</v>
      </c>
      <c r="B60" s="904" t="s">
        <v>1326</v>
      </c>
      <c r="C60" s="569">
        <f>SUM('107 (a)'!C60*1.1)</f>
        <v>44</v>
      </c>
      <c r="D60" s="569">
        <f>SUM('107 (a)'!D60*1.1)</f>
        <v>52.800000000000004</v>
      </c>
      <c r="E60" s="569">
        <f>SUM('107 (a)'!E60*1.1)</f>
        <v>49.500000000000007</v>
      </c>
      <c r="F60" s="569">
        <f>SUM('107 (a)'!F60*1.1)</f>
        <v>41.800000000000004</v>
      </c>
      <c r="G60" s="569">
        <f>SUM('107 (a)'!G60*1.1)</f>
        <v>188.10000000000002</v>
      </c>
      <c r="H60" s="569">
        <f>SUM('107 (a)'!H60*1.1)</f>
        <v>0</v>
      </c>
      <c r="I60" s="569">
        <f>SUM('107 (a)'!I60*1.1)</f>
        <v>188.10000000000002</v>
      </c>
      <c r="J60" s="569">
        <f>SUM('107 (a)'!J60*1.1)</f>
        <v>57.2</v>
      </c>
      <c r="K60" s="569">
        <f>SUM('107 (a)'!K60*1.1)</f>
        <v>47.300000000000004</v>
      </c>
      <c r="L60" s="565">
        <f>J60+K60</f>
        <v>104.5</v>
      </c>
      <c r="M60" s="565">
        <f>I60+L60</f>
        <v>292.60000000000002</v>
      </c>
      <c r="N60" s="604"/>
      <c r="O60" s="569">
        <f>SUM('107 (a)'!O60*1.1)</f>
        <v>42.900000000000006</v>
      </c>
      <c r="P60" s="569">
        <f>SUM('107 (a)'!P60*1.1)</f>
        <v>52.800000000000004</v>
      </c>
      <c r="Q60" s="569">
        <f>SUM('107 (a)'!Q60*1.1)</f>
        <v>37.400000000000006</v>
      </c>
      <c r="R60" s="569">
        <f>SUM('107 (a)'!R60*1.1)</f>
        <v>39.6</v>
      </c>
      <c r="S60" s="569">
        <f>SUM('107 (a)'!S60*1.1)</f>
        <v>172.70000000000002</v>
      </c>
      <c r="T60" s="569">
        <f>SUM('107 (a)'!T60*1.1)</f>
        <v>0</v>
      </c>
      <c r="U60" s="565">
        <f t="shared" si="33"/>
        <v>172.70000000000002</v>
      </c>
      <c r="V60" s="569"/>
      <c r="W60" s="566"/>
      <c r="X60" s="565">
        <f>V60+W60</f>
        <v>0</v>
      </c>
      <c r="Y60" s="565">
        <f>U60+X60</f>
        <v>172.70000000000002</v>
      </c>
      <c r="Z60" s="601">
        <f>Y60+M60</f>
        <v>465.30000000000007</v>
      </c>
      <c r="AB60" s="886">
        <f t="shared" si="39"/>
        <v>104900</v>
      </c>
      <c r="AC60" s="886"/>
      <c r="AI60" s="883">
        <f t="shared" si="7"/>
        <v>0</v>
      </c>
    </row>
    <row r="61" spans="1:35" s="7" customFormat="1" ht="18.95" customHeight="1">
      <c r="A61" s="905">
        <v>6</v>
      </c>
      <c r="B61" s="904" t="s">
        <v>432</v>
      </c>
      <c r="C61" s="569">
        <f>SUM('107 (a)'!C61*1.1)</f>
        <v>42.900000000000006</v>
      </c>
      <c r="D61" s="569">
        <f>SUM('107 (a)'!D61*1.1)</f>
        <v>51.7</v>
      </c>
      <c r="E61" s="569">
        <f>SUM('107 (a)'!E61*1.1)</f>
        <v>42.900000000000006</v>
      </c>
      <c r="F61" s="569">
        <f>SUM('107 (a)'!F61*1.1)</f>
        <v>46.2</v>
      </c>
      <c r="G61" s="569">
        <f>SUM('107 (a)'!G61*1.1)</f>
        <v>183.70000000000002</v>
      </c>
      <c r="H61" s="569">
        <f>SUM('107 (a)'!H61*1.1)</f>
        <v>0</v>
      </c>
      <c r="I61" s="569">
        <f>SUM('107 (a)'!I61*1.1)</f>
        <v>183.70000000000002</v>
      </c>
      <c r="J61" s="569">
        <f>SUM('107 (a)'!J61*1.1)</f>
        <v>0</v>
      </c>
      <c r="K61" s="569">
        <f>SUM('107 (a)'!K61*1.1)</f>
        <v>0</v>
      </c>
      <c r="L61" s="565">
        <f>J61+K61</f>
        <v>0</v>
      </c>
      <c r="M61" s="565">
        <f>I61+L61</f>
        <v>183.70000000000002</v>
      </c>
      <c r="N61" s="604"/>
      <c r="O61" s="569">
        <f>SUM('107 (a)'!O61*1.1)</f>
        <v>48.400000000000006</v>
      </c>
      <c r="P61" s="569">
        <f>SUM('107 (a)'!P61*1.1)</f>
        <v>57.2</v>
      </c>
      <c r="Q61" s="569">
        <f>SUM('107 (a)'!Q61*1.1)</f>
        <v>40.700000000000003</v>
      </c>
      <c r="R61" s="569">
        <f>SUM('107 (a)'!R61*1.1)</f>
        <v>40.700000000000003</v>
      </c>
      <c r="S61" s="569">
        <f>SUM('107 (a)'!S61*1.1)</f>
        <v>187.00000000000003</v>
      </c>
      <c r="T61" s="569">
        <f>SUM('107 (a)'!T61*1.1)</f>
        <v>0</v>
      </c>
      <c r="U61" s="565">
        <f t="shared" si="33"/>
        <v>187</v>
      </c>
      <c r="V61" s="569"/>
      <c r="W61" s="566"/>
      <c r="X61" s="565">
        <f>V61+W61</f>
        <v>0</v>
      </c>
      <c r="Y61" s="565">
        <f>U61+X61</f>
        <v>187</v>
      </c>
      <c r="Z61" s="601">
        <f>Y61+M61</f>
        <v>370.70000000000005</v>
      </c>
      <c r="AB61" s="886">
        <f>52700*2-500</f>
        <v>104900</v>
      </c>
      <c r="AC61" s="886"/>
      <c r="AI61" s="883">
        <f t="shared" si="7"/>
        <v>0</v>
      </c>
    </row>
    <row r="62" spans="1:35" s="7" customFormat="1" ht="18.95" customHeight="1">
      <c r="A62" s="903">
        <v>7</v>
      </c>
      <c r="B62" s="904" t="s">
        <v>1329</v>
      </c>
      <c r="C62" s="569">
        <f>SUM('107 (a)'!C62*1.1)</f>
        <v>42.900000000000006</v>
      </c>
      <c r="D62" s="569">
        <f>SUM('107 (a)'!D62*1.1)</f>
        <v>38.5</v>
      </c>
      <c r="E62" s="569">
        <f>SUM('107 (a)'!E62*1.1)</f>
        <v>55.000000000000007</v>
      </c>
      <c r="F62" s="569">
        <f>SUM('107 (a)'!F62*1.1)</f>
        <v>38.5</v>
      </c>
      <c r="G62" s="569">
        <f>SUM('107 (a)'!G62*1.1)</f>
        <v>174.9</v>
      </c>
      <c r="H62" s="569">
        <f>SUM('107 (a)'!H62*1.1)</f>
        <v>0</v>
      </c>
      <c r="I62" s="569">
        <f>SUM('107 (a)'!I62*1.1)</f>
        <v>174.9</v>
      </c>
      <c r="J62" s="569">
        <f>SUM('107 (a)'!J62*1.1)</f>
        <v>0</v>
      </c>
      <c r="K62" s="569">
        <f>SUM('107 (a)'!K62*1.1)</f>
        <v>0</v>
      </c>
      <c r="L62" s="565">
        <f t="shared" si="34"/>
        <v>0</v>
      </c>
      <c r="M62" s="565">
        <f t="shared" si="35"/>
        <v>174.9</v>
      </c>
      <c r="N62" s="604"/>
      <c r="O62" s="569">
        <f>SUM('107 (a)'!O62*1.1)</f>
        <v>0</v>
      </c>
      <c r="P62" s="569">
        <f>SUM('107 (a)'!P62*1.1)</f>
        <v>0</v>
      </c>
      <c r="Q62" s="569">
        <f>SUM('107 (a)'!Q62*1.1)</f>
        <v>0</v>
      </c>
      <c r="R62" s="569">
        <f>SUM('107 (a)'!R62*1.1)</f>
        <v>0</v>
      </c>
      <c r="S62" s="569">
        <f>SUM('107 (a)'!S62*1.1)</f>
        <v>0</v>
      </c>
      <c r="T62" s="569">
        <f>SUM('107 (a)'!T62*1.1)</f>
        <v>0</v>
      </c>
      <c r="U62" s="565">
        <f t="shared" si="33"/>
        <v>0</v>
      </c>
      <c r="V62" s="569"/>
      <c r="W62" s="566"/>
      <c r="X62" s="565">
        <f t="shared" si="36"/>
        <v>0</v>
      </c>
      <c r="Y62" s="565">
        <f t="shared" si="37"/>
        <v>0</v>
      </c>
      <c r="Z62" s="601">
        <f t="shared" si="38"/>
        <v>174.9</v>
      </c>
      <c r="AB62" s="886"/>
      <c r="AC62" s="886"/>
      <c r="AE62" s="7">
        <v>10</v>
      </c>
      <c r="AF62" s="7" t="s">
        <v>1350</v>
      </c>
      <c r="AI62" s="883">
        <f t="shared" si="7"/>
        <v>0</v>
      </c>
    </row>
    <row r="63" spans="1:35" s="7" customFormat="1" ht="18.95" customHeight="1">
      <c r="A63" s="905">
        <v>8</v>
      </c>
      <c r="B63" s="904" t="s">
        <v>1319</v>
      </c>
      <c r="C63" s="569">
        <f>SUM('107 (a)'!C63*1.1)</f>
        <v>64.900000000000006</v>
      </c>
      <c r="D63" s="569">
        <f>SUM('107 (a)'!D63*1.1)</f>
        <v>71.5</v>
      </c>
      <c r="E63" s="569">
        <f>SUM('107 (a)'!E63*1.1)</f>
        <v>56.1</v>
      </c>
      <c r="F63" s="569">
        <f>SUM('107 (a)'!F63*1.1)</f>
        <v>29.700000000000003</v>
      </c>
      <c r="G63" s="569">
        <f>SUM('107 (a)'!G63*1.1)</f>
        <v>222.20000000000002</v>
      </c>
      <c r="H63" s="569">
        <f>SUM('107 (a)'!H63*1.1)</f>
        <v>93.500000000000014</v>
      </c>
      <c r="I63" s="569">
        <f>SUM('107 (a)'!I63*1.1)</f>
        <v>315.70000000000005</v>
      </c>
      <c r="J63" s="569">
        <f>SUM('107 (a)'!J63*1.1)</f>
        <v>83.600000000000009</v>
      </c>
      <c r="K63" s="569">
        <f>SUM('107 (a)'!K63*1.1)</f>
        <v>28.6</v>
      </c>
      <c r="L63" s="565">
        <f>J63+K63</f>
        <v>112.20000000000002</v>
      </c>
      <c r="M63" s="565">
        <f>I63+L63</f>
        <v>427.90000000000009</v>
      </c>
      <c r="N63" s="604"/>
      <c r="O63" s="569">
        <f>SUM('107 (a)'!O63*1.1)</f>
        <v>0</v>
      </c>
      <c r="P63" s="569">
        <f>SUM('107 (a)'!P63*1.1)</f>
        <v>68.2</v>
      </c>
      <c r="Q63" s="569">
        <f>SUM('107 (a)'!Q63*1.1)</f>
        <v>38.5</v>
      </c>
      <c r="R63" s="569">
        <f>SUM('107 (a)'!R63*1.1)</f>
        <v>18.700000000000003</v>
      </c>
      <c r="S63" s="569">
        <f>SUM('107 (a)'!S63*1.1)</f>
        <v>125.4</v>
      </c>
      <c r="T63" s="569">
        <f>SUM('107 (a)'!T63*1.1)</f>
        <v>82.5</v>
      </c>
      <c r="U63" s="565">
        <f t="shared" si="33"/>
        <v>207.9</v>
      </c>
      <c r="V63" s="569"/>
      <c r="W63" s="566"/>
      <c r="X63" s="565">
        <f>V63+W63</f>
        <v>0</v>
      </c>
      <c r="Y63" s="565">
        <f>U63+X63</f>
        <v>207.9</v>
      </c>
      <c r="Z63" s="601">
        <f>Y63+M63</f>
        <v>635.80000000000007</v>
      </c>
      <c r="AB63" s="886">
        <f t="shared" ref="AB63:AB66" si="40">52700*2-500</f>
        <v>104900</v>
      </c>
      <c r="AC63" s="886">
        <f>97500</f>
        <v>97500</v>
      </c>
      <c r="AE63" s="7">
        <f>64+21</f>
        <v>85</v>
      </c>
      <c r="AF63" s="7">
        <f>68+7</f>
        <v>75</v>
      </c>
      <c r="AG63" s="7" t="s">
        <v>1350</v>
      </c>
      <c r="AI63" s="883">
        <f t="shared" si="7"/>
        <v>0</v>
      </c>
    </row>
    <row r="64" spans="1:35" s="7" customFormat="1" ht="18.95" customHeight="1">
      <c r="A64" s="903">
        <v>9</v>
      </c>
      <c r="B64" s="904" t="s">
        <v>417</v>
      </c>
      <c r="C64" s="569">
        <f>SUM('107 (a)'!C64*1.1)</f>
        <v>53.900000000000006</v>
      </c>
      <c r="D64" s="569">
        <f>SUM('107 (a)'!D64*1.1)</f>
        <v>57.2</v>
      </c>
      <c r="E64" s="569">
        <f>SUM('107 (a)'!E64*1.1)</f>
        <v>59.400000000000006</v>
      </c>
      <c r="F64" s="569">
        <f>SUM('107 (a)'!F64*1.1)</f>
        <v>37.400000000000006</v>
      </c>
      <c r="G64" s="569">
        <f>SUM('107 (a)'!G64*1.1)</f>
        <v>207.9</v>
      </c>
      <c r="H64" s="569">
        <f>SUM('107 (a)'!H64*1.1)</f>
        <v>236.50000000000003</v>
      </c>
      <c r="I64" s="569">
        <f>SUM('107 (a)'!I64*1.1)</f>
        <v>444.40000000000003</v>
      </c>
      <c r="J64" s="569">
        <f>SUM('107 (a)'!J64*1.1)</f>
        <v>74.800000000000011</v>
      </c>
      <c r="K64" s="569">
        <f>SUM('107 (a)'!K64*1.1)</f>
        <v>24.200000000000003</v>
      </c>
      <c r="L64" s="565">
        <f>J64+K64</f>
        <v>99.000000000000014</v>
      </c>
      <c r="M64" s="565">
        <f>I64+L64</f>
        <v>543.40000000000009</v>
      </c>
      <c r="N64" s="604"/>
      <c r="O64" s="569">
        <f>SUM('107 (a)'!O64*1.1)</f>
        <v>56.1</v>
      </c>
      <c r="P64" s="569">
        <f>SUM('107 (a)'!P64*1.1)</f>
        <v>74.800000000000011</v>
      </c>
      <c r="Q64" s="569">
        <f>SUM('107 (a)'!Q64*1.1)</f>
        <v>34.1</v>
      </c>
      <c r="R64" s="569">
        <f>SUM('107 (a)'!R64*1.1)</f>
        <v>9.9</v>
      </c>
      <c r="S64" s="569">
        <f>SUM('107 (a)'!S64*1.1)</f>
        <v>174.9</v>
      </c>
      <c r="T64" s="569">
        <f>SUM('107 (a)'!T64*1.1)</f>
        <v>0</v>
      </c>
      <c r="U64" s="565">
        <f t="shared" si="33"/>
        <v>174.9</v>
      </c>
      <c r="V64" s="570"/>
      <c r="W64" s="567"/>
      <c r="X64" s="565">
        <f>V64+W64</f>
        <v>0</v>
      </c>
      <c r="Y64" s="565">
        <f>U64+X64</f>
        <v>174.9</v>
      </c>
      <c r="Z64" s="601">
        <f>Y64+M64</f>
        <v>718.30000000000007</v>
      </c>
      <c r="AB64" s="886">
        <f t="shared" si="40"/>
        <v>104900</v>
      </c>
      <c r="AC64" s="886"/>
      <c r="AI64" s="883">
        <f t="shared" si="7"/>
        <v>0</v>
      </c>
    </row>
    <row r="65" spans="1:35" s="7" customFormat="1" ht="18.95" customHeight="1">
      <c r="A65" s="905">
        <v>10</v>
      </c>
      <c r="B65" s="904" t="s">
        <v>412</v>
      </c>
      <c r="C65" s="569">
        <f>SUM('107 (a)'!C65*1.1)</f>
        <v>47.300000000000004</v>
      </c>
      <c r="D65" s="569">
        <f>SUM('107 (a)'!D65*1.1)</f>
        <v>51.7</v>
      </c>
      <c r="E65" s="569">
        <f>SUM('107 (a)'!E65*1.1)</f>
        <v>44</v>
      </c>
      <c r="F65" s="569">
        <f>SUM('107 (a)'!F65*1.1)</f>
        <v>50.6</v>
      </c>
      <c r="G65" s="569">
        <f>SUM('107 (a)'!G65*1.1)</f>
        <v>193.60000000000002</v>
      </c>
      <c r="H65" s="569">
        <f>SUM('107 (a)'!H65*1.1)</f>
        <v>110.00000000000001</v>
      </c>
      <c r="I65" s="569">
        <f>SUM('107 (a)'!I65*1.1)</f>
        <v>303.60000000000002</v>
      </c>
      <c r="J65" s="569">
        <f>SUM('107 (a)'!J65*1.1)</f>
        <v>46.2</v>
      </c>
      <c r="K65" s="569">
        <f>SUM('107 (a)'!K65*1.1)</f>
        <v>37.400000000000006</v>
      </c>
      <c r="L65" s="565">
        <f>J65+K65</f>
        <v>83.600000000000009</v>
      </c>
      <c r="M65" s="565">
        <f>I65+L65</f>
        <v>387.20000000000005</v>
      </c>
      <c r="N65" s="604"/>
      <c r="O65" s="569">
        <f>SUM('107 (a)'!O65*1.1)</f>
        <v>23.1</v>
      </c>
      <c r="P65" s="569">
        <f>SUM('107 (a)'!P65*1.1)</f>
        <v>66</v>
      </c>
      <c r="Q65" s="569">
        <f>SUM('107 (a)'!Q65*1.1)</f>
        <v>22</v>
      </c>
      <c r="R65" s="569">
        <f>SUM('107 (a)'!R65*1.1)</f>
        <v>8.8000000000000007</v>
      </c>
      <c r="S65" s="569">
        <f>SUM('107 (a)'!S65*1.1)</f>
        <v>119.9</v>
      </c>
      <c r="T65" s="569">
        <f>SUM('107 (a)'!T65*1.1)</f>
        <v>3.3000000000000003</v>
      </c>
      <c r="U65" s="565">
        <f t="shared" si="33"/>
        <v>123.19999999999999</v>
      </c>
      <c r="V65" s="570"/>
      <c r="W65" s="567"/>
      <c r="X65" s="565">
        <f>V65+W65</f>
        <v>0</v>
      </c>
      <c r="Y65" s="565">
        <f>U65+X65</f>
        <v>123.19999999999999</v>
      </c>
      <c r="Z65" s="601">
        <f>Y65+M65</f>
        <v>510.40000000000003</v>
      </c>
      <c r="AB65" s="886">
        <f t="shared" si="40"/>
        <v>104900</v>
      </c>
      <c r="AC65" s="886">
        <f t="shared" ref="AC65:AC66" si="41">97500</f>
        <v>97500</v>
      </c>
      <c r="AE65" s="7">
        <f>37+13</f>
        <v>50</v>
      </c>
      <c r="AF65" s="7">
        <v>3</v>
      </c>
      <c r="AG65" s="7" t="s">
        <v>1405</v>
      </c>
      <c r="AI65" s="883">
        <f t="shared" si="7"/>
        <v>0</v>
      </c>
    </row>
    <row r="66" spans="1:35" s="7" customFormat="1" ht="18.95" customHeight="1">
      <c r="A66" s="903">
        <v>11</v>
      </c>
      <c r="B66" s="904" t="s">
        <v>438</v>
      </c>
      <c r="C66" s="569">
        <f>SUM('107 (a)'!C66*1.1)</f>
        <v>66</v>
      </c>
      <c r="D66" s="569">
        <f>SUM('107 (a)'!D66*1.1)</f>
        <v>45.1</v>
      </c>
      <c r="E66" s="569">
        <f>SUM('107 (a)'!E66*1.1)</f>
        <v>47.300000000000004</v>
      </c>
      <c r="F66" s="569">
        <f>SUM('107 (a)'!F66*1.1)</f>
        <v>57.2</v>
      </c>
      <c r="G66" s="569">
        <f>SUM('107 (a)'!G66*1.1)</f>
        <v>215.60000000000002</v>
      </c>
      <c r="H66" s="569">
        <f>SUM('107 (a)'!H66*1.1)</f>
        <v>103.4</v>
      </c>
      <c r="I66" s="569">
        <f>SUM('107 (a)'!I66*1.1)</f>
        <v>319</v>
      </c>
      <c r="J66" s="569">
        <f>SUM('107 (a)'!J66*1.1)</f>
        <v>96.800000000000011</v>
      </c>
      <c r="K66" s="569">
        <f>SUM('107 (a)'!K66*1.1)</f>
        <v>49.500000000000007</v>
      </c>
      <c r="L66" s="565">
        <f t="shared" si="34"/>
        <v>146.30000000000001</v>
      </c>
      <c r="M66" s="565">
        <f t="shared" si="35"/>
        <v>465.3</v>
      </c>
      <c r="N66" s="604"/>
      <c r="O66" s="569">
        <f>SUM('107 (a)'!O66*1.1)</f>
        <v>41.800000000000004</v>
      </c>
      <c r="P66" s="569">
        <f>SUM('107 (a)'!P66*1.1)</f>
        <v>57.2</v>
      </c>
      <c r="Q66" s="569">
        <f>SUM('107 (a)'!Q66*1.1)</f>
        <v>49.500000000000007</v>
      </c>
      <c r="R66" s="569">
        <f>SUM('107 (a)'!R66*1.1)</f>
        <v>33</v>
      </c>
      <c r="S66" s="569">
        <f>SUM('107 (a)'!S66*1.1)</f>
        <v>181.50000000000003</v>
      </c>
      <c r="T66" s="569">
        <f>SUM('107 (a)'!T66*1.1)</f>
        <v>42.900000000000006</v>
      </c>
      <c r="U66" s="565">
        <f t="shared" si="33"/>
        <v>224.4</v>
      </c>
      <c r="V66" s="569"/>
      <c r="W66" s="566"/>
      <c r="X66" s="565">
        <f t="shared" si="36"/>
        <v>0</v>
      </c>
      <c r="Y66" s="565">
        <f t="shared" si="37"/>
        <v>224.4</v>
      </c>
      <c r="Z66" s="601">
        <f t="shared" si="38"/>
        <v>689.7</v>
      </c>
      <c r="AB66" s="886">
        <f t="shared" si="40"/>
        <v>104900</v>
      </c>
      <c r="AC66" s="886">
        <f t="shared" si="41"/>
        <v>97500</v>
      </c>
      <c r="AI66" s="883">
        <f t="shared" si="7"/>
        <v>0</v>
      </c>
    </row>
    <row r="67" spans="1:35" s="7" customFormat="1" ht="18.95" customHeight="1">
      <c r="A67" s="905">
        <v>12</v>
      </c>
      <c r="B67" s="904" t="s">
        <v>1440</v>
      </c>
      <c r="C67" s="569">
        <f>SUM('107 (a)'!C67*1.1)</f>
        <v>0</v>
      </c>
      <c r="D67" s="569">
        <f>SUM('107 (a)'!D67*1.1)</f>
        <v>0</v>
      </c>
      <c r="E67" s="569">
        <f>SUM('107 (a)'!E67*1.1)</f>
        <v>0</v>
      </c>
      <c r="F67" s="569">
        <f>SUM('107 (a)'!F67*1.1)</f>
        <v>0</v>
      </c>
      <c r="G67" s="569">
        <f>SUM('107 (a)'!G67*1.1)</f>
        <v>0</v>
      </c>
      <c r="H67" s="569">
        <f>SUM('107 (a)'!H67*1.1)</f>
        <v>0</v>
      </c>
      <c r="I67" s="569">
        <f>SUM('107 (a)'!I67*1.1)</f>
        <v>0</v>
      </c>
      <c r="J67" s="569">
        <f>SUM('107 (a)'!J67*1.1)</f>
        <v>14.3</v>
      </c>
      <c r="K67" s="569">
        <f>SUM('107 (a)'!K67*1.1)</f>
        <v>6.6000000000000005</v>
      </c>
      <c r="L67" s="565">
        <f t="shared" si="34"/>
        <v>20.900000000000002</v>
      </c>
      <c r="M67" s="565">
        <f t="shared" si="35"/>
        <v>20.900000000000002</v>
      </c>
      <c r="N67" s="604"/>
      <c r="O67" s="569">
        <f>SUM('107 (a)'!O67*1.1)</f>
        <v>0</v>
      </c>
      <c r="P67" s="569">
        <f>SUM('107 (a)'!P67*1.1)</f>
        <v>0</v>
      </c>
      <c r="Q67" s="569">
        <f>SUM('107 (a)'!Q67*1.1)</f>
        <v>0</v>
      </c>
      <c r="R67" s="569">
        <f>SUM('107 (a)'!R67*1.1)</f>
        <v>0</v>
      </c>
      <c r="S67" s="569">
        <f>SUM('107 (a)'!S67*1.1)</f>
        <v>0</v>
      </c>
      <c r="T67" s="569">
        <f>SUM('107 (a)'!T67*1.1)</f>
        <v>0</v>
      </c>
      <c r="U67" s="565">
        <f t="shared" si="33"/>
        <v>0</v>
      </c>
      <c r="V67" s="569"/>
      <c r="W67" s="566"/>
      <c r="X67" s="565"/>
      <c r="Y67" s="565">
        <f t="shared" si="37"/>
        <v>0</v>
      </c>
      <c r="Z67" s="601">
        <f t="shared" si="38"/>
        <v>20.900000000000002</v>
      </c>
      <c r="AB67" s="886"/>
      <c r="AC67" s="886"/>
      <c r="AI67" s="883">
        <f t="shared" si="7"/>
        <v>0</v>
      </c>
    </row>
    <row r="68" spans="1:35" s="7" customFormat="1" ht="18.95" customHeight="1">
      <c r="A68" s="903">
        <v>13</v>
      </c>
      <c r="B68" s="904" t="s">
        <v>1345</v>
      </c>
      <c r="C68" s="569">
        <f>SUM('107 (a)'!C68*1.1)</f>
        <v>67.100000000000009</v>
      </c>
      <c r="D68" s="569">
        <f>SUM('107 (a)'!D68*1.1)</f>
        <v>0</v>
      </c>
      <c r="E68" s="569">
        <f>SUM('107 (a)'!E68*1.1)</f>
        <v>0</v>
      </c>
      <c r="F68" s="569">
        <f>SUM('107 (a)'!F68*1.1)</f>
        <v>0</v>
      </c>
      <c r="G68" s="569">
        <f>SUM('107 (a)'!G68*1.1)</f>
        <v>67.100000000000009</v>
      </c>
      <c r="H68" s="569">
        <f>SUM('107 (a)'!H68*1.1)</f>
        <v>0</v>
      </c>
      <c r="I68" s="569">
        <f>SUM('107 (a)'!I68*1.1)</f>
        <v>67.100000000000009</v>
      </c>
      <c r="J68" s="569">
        <f>SUM('107 (a)'!J68*1.1)</f>
        <v>0</v>
      </c>
      <c r="K68" s="569">
        <f>SUM('107 (a)'!K68*1.1)</f>
        <v>0</v>
      </c>
      <c r="L68" s="565">
        <f t="shared" si="34"/>
        <v>0</v>
      </c>
      <c r="M68" s="565">
        <f t="shared" si="35"/>
        <v>67.100000000000009</v>
      </c>
      <c r="N68" s="604"/>
      <c r="O68" s="569">
        <f>SUM('107 (a)'!O68*1.1)</f>
        <v>0</v>
      </c>
      <c r="P68" s="569">
        <f>SUM('107 (a)'!P68*1.1)</f>
        <v>0</v>
      </c>
      <c r="Q68" s="569">
        <f>SUM('107 (a)'!Q68*1.1)</f>
        <v>0</v>
      </c>
      <c r="R68" s="569">
        <f>SUM('107 (a)'!R68*1.1)</f>
        <v>0</v>
      </c>
      <c r="S68" s="569">
        <f>SUM('107 (a)'!S68*1.1)</f>
        <v>0</v>
      </c>
      <c r="T68" s="569">
        <f>SUM('107 (a)'!T68*1.1)</f>
        <v>0</v>
      </c>
      <c r="U68" s="565">
        <f t="shared" si="33"/>
        <v>0</v>
      </c>
      <c r="V68" s="569"/>
      <c r="W68" s="566"/>
      <c r="X68" s="565">
        <f t="shared" si="36"/>
        <v>0</v>
      </c>
      <c r="Y68" s="565">
        <f t="shared" si="37"/>
        <v>0</v>
      </c>
      <c r="Z68" s="601">
        <f t="shared" si="38"/>
        <v>67.100000000000009</v>
      </c>
      <c r="AB68" s="886"/>
      <c r="AC68" s="886"/>
      <c r="AI68" s="883">
        <f t="shared" si="7"/>
        <v>0</v>
      </c>
    </row>
    <row r="69" spans="1:35" ht="20.100000000000001" customHeight="1">
      <c r="A69" s="1521" t="s">
        <v>752</v>
      </c>
      <c r="B69" s="1522"/>
      <c r="C69" s="856">
        <f>SUM(C56:C68)</f>
        <v>573.1</v>
      </c>
      <c r="D69" s="856">
        <f t="shared" ref="D69:Z69" si="42">SUM(D56:D68)</f>
        <v>524.70000000000005</v>
      </c>
      <c r="E69" s="856">
        <f t="shared" si="42"/>
        <v>489.50000000000006</v>
      </c>
      <c r="F69" s="856">
        <f t="shared" si="42"/>
        <v>438.90000000000003</v>
      </c>
      <c r="G69" s="856">
        <f t="shared" si="42"/>
        <v>2026.2000000000003</v>
      </c>
      <c r="H69" s="856">
        <f t="shared" si="42"/>
        <v>864.6</v>
      </c>
      <c r="I69" s="856">
        <f t="shared" si="42"/>
        <v>2890.8</v>
      </c>
      <c r="J69" s="856">
        <f t="shared" si="42"/>
        <v>680.90000000000009</v>
      </c>
      <c r="K69" s="856">
        <f t="shared" si="42"/>
        <v>347.6</v>
      </c>
      <c r="L69" s="856">
        <f t="shared" si="42"/>
        <v>1028.5000000000002</v>
      </c>
      <c r="M69" s="856">
        <f t="shared" si="42"/>
        <v>3919.3000000000011</v>
      </c>
      <c r="N69" s="856">
        <f t="shared" si="42"/>
        <v>0</v>
      </c>
      <c r="O69" s="856">
        <f t="shared" si="42"/>
        <v>365.20000000000005</v>
      </c>
      <c r="P69" s="856">
        <f t="shared" si="42"/>
        <v>485.1</v>
      </c>
      <c r="Q69" s="856">
        <f t="shared" si="42"/>
        <v>308</v>
      </c>
      <c r="R69" s="856">
        <f t="shared" si="42"/>
        <v>170.50000000000003</v>
      </c>
      <c r="S69" s="856">
        <f t="shared" si="42"/>
        <v>1328.8000000000002</v>
      </c>
      <c r="T69" s="856">
        <f t="shared" si="42"/>
        <v>211.20000000000002</v>
      </c>
      <c r="U69" s="856">
        <f t="shared" si="42"/>
        <v>1540.0000000000002</v>
      </c>
      <c r="V69" s="856">
        <f t="shared" si="42"/>
        <v>0</v>
      </c>
      <c r="W69" s="856">
        <f t="shared" si="42"/>
        <v>0</v>
      </c>
      <c r="X69" s="856">
        <f t="shared" si="42"/>
        <v>0</v>
      </c>
      <c r="Y69" s="856">
        <f t="shared" si="42"/>
        <v>1540.0000000000002</v>
      </c>
      <c r="Z69" s="856">
        <f t="shared" si="42"/>
        <v>5459.2999999999993</v>
      </c>
      <c r="AI69" s="883">
        <f t="shared" si="7"/>
        <v>0</v>
      </c>
    </row>
    <row r="70" spans="1:35" ht="20.100000000000001" customHeight="1">
      <c r="A70" s="1478" t="s">
        <v>742</v>
      </c>
      <c r="B70" s="1480"/>
      <c r="C70" s="24"/>
      <c r="D70" s="24"/>
      <c r="E70" s="24"/>
      <c r="F70" s="24"/>
      <c r="G70" s="24"/>
      <c r="H70" s="24"/>
      <c r="I70" s="25"/>
      <c r="J70" s="24"/>
      <c r="K70" s="24"/>
      <c r="L70" s="25"/>
      <c r="M70" s="24"/>
      <c r="N70" s="604"/>
      <c r="O70" s="24"/>
      <c r="P70" s="24"/>
      <c r="Q70" s="24"/>
      <c r="R70" s="24"/>
      <c r="S70" s="24"/>
      <c r="T70" s="24"/>
      <c r="U70" s="25"/>
      <c r="V70" s="24"/>
      <c r="W70" s="24"/>
      <c r="X70" s="25"/>
      <c r="Y70" s="24"/>
      <c r="Z70" s="600"/>
      <c r="AI70" s="883">
        <f t="shared" si="7"/>
        <v>0</v>
      </c>
    </row>
    <row r="71" spans="1:35" s="7" customFormat="1" ht="20.100000000000001" customHeight="1">
      <c r="A71" s="240">
        <v>1</v>
      </c>
      <c r="B71" s="242"/>
      <c r="C71" s="23"/>
      <c r="D71" s="23"/>
      <c r="E71" s="23"/>
      <c r="F71" s="566"/>
      <c r="G71" s="566"/>
      <c r="H71" s="566"/>
      <c r="I71" s="565">
        <f t="shared" ref="I71:I76" si="43">C71+E71+H71+D71</f>
        <v>0</v>
      </c>
      <c r="J71" s="569"/>
      <c r="K71" s="566"/>
      <c r="L71" s="565">
        <f t="shared" ref="L71:L76" si="44">J71+K71</f>
        <v>0</v>
      </c>
      <c r="M71" s="565">
        <f t="shared" ref="M71:M76" si="45">I71+L71</f>
        <v>0</v>
      </c>
      <c r="N71" s="604"/>
      <c r="O71" s="253"/>
      <c r="P71" s="23"/>
      <c r="Q71" s="23"/>
      <c r="R71" s="566"/>
      <c r="S71" s="803">
        <f t="shared" ref="S71:S76" si="46">SUM(O71:R71)</f>
        <v>0</v>
      </c>
      <c r="T71" s="803"/>
      <c r="U71" s="565">
        <f t="shared" ref="U71:U76" si="47">SUM(S71:T71)</f>
        <v>0</v>
      </c>
      <c r="V71" s="569"/>
      <c r="W71" s="566"/>
      <c r="X71" s="565">
        <f t="shared" ref="X71:X76" si="48">V71+W71</f>
        <v>0</v>
      </c>
      <c r="Y71" s="565">
        <f t="shared" ref="Y71:Y76" si="49">U71+X71</f>
        <v>0</v>
      </c>
      <c r="Z71" s="601">
        <f t="shared" ref="Z71:Z77" si="50">Y71+M71</f>
        <v>0</v>
      </c>
      <c r="AB71" s="886"/>
      <c r="AC71" s="886"/>
      <c r="AI71" s="883">
        <f t="shared" si="7"/>
        <v>0</v>
      </c>
    </row>
    <row r="72" spans="1:35" s="7" customFormat="1" ht="20.100000000000001" customHeight="1">
      <c r="A72" s="241">
        <v>2</v>
      </c>
      <c r="B72" s="243"/>
      <c r="C72" s="238"/>
      <c r="D72" s="238"/>
      <c r="E72" s="238"/>
      <c r="F72" s="567"/>
      <c r="G72" s="567"/>
      <c r="H72" s="567"/>
      <c r="I72" s="565">
        <f t="shared" si="43"/>
        <v>0</v>
      </c>
      <c r="J72" s="570"/>
      <c r="K72" s="567"/>
      <c r="L72" s="565">
        <f t="shared" si="44"/>
        <v>0</v>
      </c>
      <c r="M72" s="565">
        <f t="shared" si="45"/>
        <v>0</v>
      </c>
      <c r="N72" s="604"/>
      <c r="O72" s="256"/>
      <c r="P72" s="238"/>
      <c r="Q72" s="238"/>
      <c r="R72" s="567"/>
      <c r="S72" s="803">
        <f t="shared" si="46"/>
        <v>0</v>
      </c>
      <c r="T72" s="804"/>
      <c r="U72" s="565">
        <f t="shared" si="47"/>
        <v>0</v>
      </c>
      <c r="V72" s="570"/>
      <c r="W72" s="567"/>
      <c r="X72" s="565">
        <f t="shared" si="48"/>
        <v>0</v>
      </c>
      <c r="Y72" s="565">
        <f t="shared" si="49"/>
        <v>0</v>
      </c>
      <c r="Z72" s="601">
        <f t="shared" si="50"/>
        <v>0</v>
      </c>
      <c r="AB72" s="886"/>
      <c r="AC72" s="886"/>
      <c r="AI72" s="883">
        <f t="shared" si="7"/>
        <v>0</v>
      </c>
    </row>
    <row r="73" spans="1:35" s="7" customFormat="1" ht="20.100000000000001" customHeight="1">
      <c r="A73" s="241">
        <v>3</v>
      </c>
      <c r="B73" s="243"/>
      <c r="C73" s="238"/>
      <c r="D73" s="238"/>
      <c r="E73" s="238"/>
      <c r="F73" s="567"/>
      <c r="G73" s="567"/>
      <c r="H73" s="567"/>
      <c r="I73" s="565">
        <f t="shared" si="43"/>
        <v>0</v>
      </c>
      <c r="J73" s="570"/>
      <c r="K73" s="567"/>
      <c r="L73" s="565">
        <f t="shared" si="44"/>
        <v>0</v>
      </c>
      <c r="M73" s="565">
        <f t="shared" si="45"/>
        <v>0</v>
      </c>
      <c r="N73" s="604"/>
      <c r="O73" s="256"/>
      <c r="P73" s="238"/>
      <c r="Q73" s="238"/>
      <c r="R73" s="567"/>
      <c r="S73" s="803">
        <f t="shared" si="46"/>
        <v>0</v>
      </c>
      <c r="T73" s="804"/>
      <c r="U73" s="565">
        <f t="shared" si="47"/>
        <v>0</v>
      </c>
      <c r="V73" s="570"/>
      <c r="W73" s="567"/>
      <c r="X73" s="565">
        <f t="shared" si="48"/>
        <v>0</v>
      </c>
      <c r="Y73" s="565">
        <f t="shared" si="49"/>
        <v>0</v>
      </c>
      <c r="Z73" s="601">
        <f t="shared" si="50"/>
        <v>0</v>
      </c>
      <c r="AB73" s="886"/>
      <c r="AC73" s="886"/>
      <c r="AI73" s="883">
        <f t="shared" si="7"/>
        <v>0</v>
      </c>
    </row>
    <row r="74" spans="1:35" s="7" customFormat="1" ht="20.100000000000001" customHeight="1">
      <c r="A74" s="241">
        <v>4</v>
      </c>
      <c r="B74" s="243"/>
      <c r="C74" s="238"/>
      <c r="D74" s="238"/>
      <c r="E74" s="238"/>
      <c r="F74" s="567"/>
      <c r="G74" s="567"/>
      <c r="H74" s="567"/>
      <c r="I74" s="565">
        <f t="shared" si="43"/>
        <v>0</v>
      </c>
      <c r="J74" s="570"/>
      <c r="K74" s="567"/>
      <c r="L74" s="565">
        <f t="shared" si="44"/>
        <v>0</v>
      </c>
      <c r="M74" s="565">
        <f t="shared" si="45"/>
        <v>0</v>
      </c>
      <c r="N74" s="604"/>
      <c r="O74" s="256"/>
      <c r="P74" s="238"/>
      <c r="Q74" s="238"/>
      <c r="R74" s="567"/>
      <c r="S74" s="803">
        <f t="shared" si="46"/>
        <v>0</v>
      </c>
      <c r="T74" s="804"/>
      <c r="U74" s="565">
        <f t="shared" si="47"/>
        <v>0</v>
      </c>
      <c r="V74" s="570"/>
      <c r="W74" s="567"/>
      <c r="X74" s="565">
        <f t="shared" si="48"/>
        <v>0</v>
      </c>
      <c r="Y74" s="565">
        <f t="shared" si="49"/>
        <v>0</v>
      </c>
      <c r="Z74" s="601">
        <f t="shared" si="50"/>
        <v>0</v>
      </c>
      <c r="AB74" s="886"/>
      <c r="AC74" s="886"/>
      <c r="AI74" s="883">
        <f t="shared" si="7"/>
        <v>0</v>
      </c>
    </row>
    <row r="75" spans="1:35" s="7" customFormat="1" ht="20.100000000000001" customHeight="1">
      <c r="A75" s="241">
        <v>5</v>
      </c>
      <c r="B75" s="243"/>
      <c r="C75" s="238"/>
      <c r="D75" s="238"/>
      <c r="E75" s="238"/>
      <c r="F75" s="567"/>
      <c r="G75" s="567"/>
      <c r="H75" s="567"/>
      <c r="I75" s="565">
        <f t="shared" si="43"/>
        <v>0</v>
      </c>
      <c r="J75" s="570"/>
      <c r="K75" s="567"/>
      <c r="L75" s="565">
        <f t="shared" si="44"/>
        <v>0</v>
      </c>
      <c r="M75" s="565">
        <f t="shared" si="45"/>
        <v>0</v>
      </c>
      <c r="N75" s="604"/>
      <c r="O75" s="256"/>
      <c r="P75" s="238"/>
      <c r="Q75" s="238"/>
      <c r="R75" s="567"/>
      <c r="S75" s="803">
        <f t="shared" si="46"/>
        <v>0</v>
      </c>
      <c r="T75" s="804"/>
      <c r="U75" s="565">
        <f t="shared" si="47"/>
        <v>0</v>
      </c>
      <c r="V75" s="570"/>
      <c r="W75" s="567"/>
      <c r="X75" s="565">
        <f t="shared" si="48"/>
        <v>0</v>
      </c>
      <c r="Y75" s="565">
        <f t="shared" si="49"/>
        <v>0</v>
      </c>
      <c r="Z75" s="601">
        <f t="shared" si="50"/>
        <v>0</v>
      </c>
      <c r="AB75" s="886"/>
      <c r="AC75" s="886"/>
      <c r="AI75" s="883">
        <f t="shared" si="7"/>
        <v>0</v>
      </c>
    </row>
    <row r="76" spans="1:35" s="7" customFormat="1" ht="20.100000000000001" customHeight="1">
      <c r="A76" s="561">
        <v>6</v>
      </c>
      <c r="B76" s="562"/>
      <c r="C76" s="359"/>
      <c r="D76" s="359"/>
      <c r="E76" s="359"/>
      <c r="F76" s="568"/>
      <c r="G76" s="568"/>
      <c r="H76" s="568"/>
      <c r="I76" s="565">
        <f t="shared" si="43"/>
        <v>0</v>
      </c>
      <c r="J76" s="571"/>
      <c r="K76" s="568"/>
      <c r="L76" s="565">
        <f t="shared" si="44"/>
        <v>0</v>
      </c>
      <c r="M76" s="565">
        <f t="shared" si="45"/>
        <v>0</v>
      </c>
      <c r="N76" s="604"/>
      <c r="O76" s="358"/>
      <c r="P76" s="359"/>
      <c r="Q76" s="359"/>
      <c r="R76" s="568"/>
      <c r="S76" s="803">
        <f t="shared" si="46"/>
        <v>0</v>
      </c>
      <c r="T76" s="804"/>
      <c r="U76" s="565">
        <f t="shared" si="47"/>
        <v>0</v>
      </c>
      <c r="V76" s="571"/>
      <c r="W76" s="568"/>
      <c r="X76" s="565">
        <f t="shared" si="48"/>
        <v>0</v>
      </c>
      <c r="Y76" s="565">
        <f t="shared" si="49"/>
        <v>0</v>
      </c>
      <c r="Z76" s="601">
        <f t="shared" si="50"/>
        <v>0</v>
      </c>
      <c r="AB76" s="886"/>
      <c r="AC76" s="886"/>
      <c r="AI76" s="883">
        <f t="shared" si="7"/>
        <v>0</v>
      </c>
    </row>
    <row r="77" spans="1:35" ht="20.100000000000001" customHeight="1">
      <c r="A77" s="1521" t="s">
        <v>752</v>
      </c>
      <c r="B77" s="1522"/>
      <c r="C77" s="560">
        <f>SUM(C71:C75)</f>
        <v>0</v>
      </c>
      <c r="D77" s="560">
        <f t="shared" ref="D77:M77" si="51">SUM(D71:D75)</f>
        <v>0</v>
      </c>
      <c r="E77" s="560">
        <f t="shared" si="51"/>
        <v>0</v>
      </c>
      <c r="F77" s="560">
        <f>SUM(F71:F75)</f>
        <v>0</v>
      </c>
      <c r="G77" s="560"/>
      <c r="H77" s="560">
        <f t="shared" si="51"/>
        <v>0</v>
      </c>
      <c r="I77" s="560">
        <f t="shared" si="51"/>
        <v>0</v>
      </c>
      <c r="J77" s="560">
        <f t="shared" si="51"/>
        <v>0</v>
      </c>
      <c r="K77" s="560">
        <f t="shared" si="51"/>
        <v>0</v>
      </c>
      <c r="L77" s="560">
        <f t="shared" si="51"/>
        <v>0</v>
      </c>
      <c r="M77" s="560">
        <f t="shared" si="51"/>
        <v>0</v>
      </c>
      <c r="N77" s="604"/>
      <c r="O77" s="560">
        <f>SUM(O71:O75)</f>
        <v>0</v>
      </c>
      <c r="P77" s="560">
        <f t="shared" ref="P77:Y77" si="52">SUM(P71:P75)</f>
        <v>0</v>
      </c>
      <c r="Q77" s="560">
        <f t="shared" si="52"/>
        <v>0</v>
      </c>
      <c r="R77" s="560">
        <f t="shared" si="52"/>
        <v>0</v>
      </c>
      <c r="S77" s="560"/>
      <c r="T77" s="560"/>
      <c r="U77" s="560">
        <f t="shared" si="52"/>
        <v>0</v>
      </c>
      <c r="V77" s="560">
        <f t="shared" si="52"/>
        <v>0</v>
      </c>
      <c r="W77" s="560">
        <f t="shared" si="52"/>
        <v>0</v>
      </c>
      <c r="X77" s="560">
        <f t="shared" si="52"/>
        <v>0</v>
      </c>
      <c r="Y77" s="560">
        <f t="shared" si="52"/>
        <v>0</v>
      </c>
      <c r="Z77" s="601">
        <f t="shared" si="50"/>
        <v>0</v>
      </c>
      <c r="AI77" s="883">
        <f t="shared" si="7"/>
        <v>0</v>
      </c>
    </row>
    <row r="78" spans="1:35" ht="20.100000000000001" customHeight="1">
      <c r="A78" s="1478" t="s">
        <v>147</v>
      </c>
      <c r="B78" s="1480"/>
      <c r="C78" s="24"/>
      <c r="D78" s="24"/>
      <c r="E78" s="24"/>
      <c r="F78" s="24"/>
      <c r="G78" s="24"/>
      <c r="H78" s="24"/>
      <c r="I78" s="25"/>
      <c r="J78" s="24"/>
      <c r="K78" s="24"/>
      <c r="L78" s="25"/>
      <c r="M78" s="24"/>
      <c r="N78" s="604"/>
      <c r="O78" s="24"/>
      <c r="P78" s="24"/>
      <c r="Q78" s="24"/>
      <c r="R78" s="24"/>
      <c r="S78" s="24"/>
      <c r="T78" s="24"/>
      <c r="U78" s="25"/>
      <c r="V78" s="24"/>
      <c r="W78" s="24"/>
      <c r="X78" s="25"/>
      <c r="Y78" s="24"/>
      <c r="Z78" s="600"/>
      <c r="AI78" s="883">
        <f t="shared" si="7"/>
        <v>0</v>
      </c>
    </row>
    <row r="79" spans="1:35" s="7" customFormat="1" ht="18.95" customHeight="1">
      <c r="A79" s="905">
        <v>1</v>
      </c>
      <c r="B79" s="904" t="s">
        <v>434</v>
      </c>
      <c r="C79" s="569">
        <f>SUM('107 (a)'!C79*1.1)</f>
        <v>59.400000000000006</v>
      </c>
      <c r="D79" s="569">
        <f>SUM('107 (a)'!D79*1.1)</f>
        <v>64.900000000000006</v>
      </c>
      <c r="E79" s="569">
        <f>SUM('107 (a)'!E79*1.1)</f>
        <v>55.000000000000007</v>
      </c>
      <c r="F79" s="569">
        <f>SUM('107 (a)'!F79*1.1)</f>
        <v>106.7</v>
      </c>
      <c r="G79" s="569">
        <f>SUM('107 (a)'!G79*1.1)</f>
        <v>286</v>
      </c>
      <c r="H79" s="569">
        <f>SUM('107 (a)'!H79*1.1)</f>
        <v>0</v>
      </c>
      <c r="I79" s="569">
        <f>SUM('107 (a)'!I79*1.1)</f>
        <v>286</v>
      </c>
      <c r="J79" s="569">
        <f>SUM('107 (a)'!J79*1.1)</f>
        <v>71.5</v>
      </c>
      <c r="K79" s="569">
        <f>SUM('107 (a)'!K79*1.1)</f>
        <v>79.2</v>
      </c>
      <c r="L79" s="565">
        <f>J79+K79</f>
        <v>150.69999999999999</v>
      </c>
      <c r="M79" s="565">
        <f>I79+L79</f>
        <v>436.7</v>
      </c>
      <c r="N79" s="604"/>
      <c r="O79" s="569">
        <f>SUM('107 (a)'!O79*1.1)</f>
        <v>68.2</v>
      </c>
      <c r="P79" s="569">
        <f>SUM('107 (a)'!P79*1.1)</f>
        <v>66</v>
      </c>
      <c r="Q79" s="569">
        <f>SUM('107 (a)'!Q79*1.1)</f>
        <v>62.7</v>
      </c>
      <c r="R79" s="569">
        <f>SUM('107 (a)'!R79*1.1)</f>
        <v>52.800000000000004</v>
      </c>
      <c r="S79" s="569">
        <f>SUM('107 (a)'!S79*1.1)</f>
        <v>249.70000000000002</v>
      </c>
      <c r="T79" s="569">
        <f>SUM('107 (a)'!T79*1.1)</f>
        <v>0</v>
      </c>
      <c r="U79" s="565">
        <f t="shared" ref="U79:U86" si="53">+O79+P79+Q79+R79+T79</f>
        <v>249.7</v>
      </c>
      <c r="V79" s="569"/>
      <c r="W79" s="566"/>
      <c r="X79" s="565">
        <f>V79+W79</f>
        <v>0</v>
      </c>
      <c r="Y79" s="565">
        <f>U79+X79</f>
        <v>249.7</v>
      </c>
      <c r="Z79" s="601">
        <f t="shared" ref="Z79:Z86" si="54">Y79+M79</f>
        <v>686.4</v>
      </c>
      <c r="AB79" s="886">
        <f>136800-500</f>
        <v>136300</v>
      </c>
      <c r="AC79" s="886"/>
      <c r="AI79" s="883">
        <f t="shared" si="7"/>
        <v>0</v>
      </c>
    </row>
    <row r="80" spans="1:35" s="7" customFormat="1" ht="18.95" customHeight="1">
      <c r="A80" s="907">
        <v>2</v>
      </c>
      <c r="B80" s="902" t="s">
        <v>388</v>
      </c>
      <c r="C80" s="569">
        <f>SUM('107 (a)'!C80*1.1)</f>
        <v>0</v>
      </c>
      <c r="D80" s="569">
        <f>SUM('107 (a)'!D80*1.1)</f>
        <v>0</v>
      </c>
      <c r="E80" s="569">
        <f>SUM('107 (a)'!E80*1.1)</f>
        <v>0</v>
      </c>
      <c r="F80" s="569">
        <f>SUM('107 (a)'!F80*1.1)</f>
        <v>0</v>
      </c>
      <c r="G80" s="569">
        <f>SUM('107 (a)'!G80*1.1)</f>
        <v>0</v>
      </c>
      <c r="H80" s="569">
        <f>SUM('107 (a)'!H80*1.1)</f>
        <v>8.8000000000000007</v>
      </c>
      <c r="I80" s="569">
        <f>SUM('107 (a)'!I80*1.1)</f>
        <v>8.8000000000000007</v>
      </c>
      <c r="J80" s="569">
        <f>SUM('107 (a)'!J80*1.1)</f>
        <v>18.700000000000003</v>
      </c>
      <c r="K80" s="569">
        <f>SUM('107 (a)'!K80*1.1)</f>
        <v>0</v>
      </c>
      <c r="L80" s="565">
        <f>J80+K80</f>
        <v>18.700000000000003</v>
      </c>
      <c r="M80" s="565">
        <f>I80+L80</f>
        <v>27.500000000000004</v>
      </c>
      <c r="N80" s="604"/>
      <c r="O80" s="569">
        <f>SUM('107 (a)'!O80*1.1)</f>
        <v>0</v>
      </c>
      <c r="P80" s="569">
        <f>SUM('107 (a)'!P80*1.1)</f>
        <v>0</v>
      </c>
      <c r="Q80" s="569">
        <f>SUM('107 (a)'!Q80*1.1)</f>
        <v>0</v>
      </c>
      <c r="R80" s="569">
        <f>SUM('107 (a)'!R80*1.1)</f>
        <v>0</v>
      </c>
      <c r="S80" s="569">
        <f>SUM('107 (a)'!S80*1.1)</f>
        <v>0</v>
      </c>
      <c r="T80" s="569">
        <f>SUM('107 (a)'!T80*1.1)</f>
        <v>0</v>
      </c>
      <c r="U80" s="565">
        <f t="shared" si="53"/>
        <v>0</v>
      </c>
      <c r="V80" s="570"/>
      <c r="W80" s="567"/>
      <c r="X80" s="565">
        <f>V80+W80</f>
        <v>0</v>
      </c>
      <c r="Y80" s="565">
        <f>U80+X80</f>
        <v>0</v>
      </c>
      <c r="Z80" s="601">
        <f t="shared" si="54"/>
        <v>27.500000000000004</v>
      </c>
      <c r="AB80" s="886"/>
      <c r="AC80" s="886"/>
      <c r="AI80" s="883">
        <f t="shared" si="7"/>
        <v>0</v>
      </c>
    </row>
    <row r="81" spans="1:35" s="7" customFormat="1" ht="18.95" customHeight="1">
      <c r="A81" s="905">
        <v>3</v>
      </c>
      <c r="B81" s="904" t="s">
        <v>1318</v>
      </c>
      <c r="C81" s="569">
        <f>SUM('107 (a)'!C81*1.1)</f>
        <v>40.700000000000003</v>
      </c>
      <c r="D81" s="569">
        <f>SUM('107 (a)'!D81*1.1)</f>
        <v>33</v>
      </c>
      <c r="E81" s="569">
        <f>SUM('107 (a)'!E81*1.1)</f>
        <v>0</v>
      </c>
      <c r="F81" s="569">
        <f>SUM('107 (a)'!F81*1.1)</f>
        <v>0</v>
      </c>
      <c r="G81" s="569">
        <f>SUM('107 (a)'!G81*1.1)</f>
        <v>73.7</v>
      </c>
      <c r="H81" s="569">
        <f>SUM('107 (a)'!H81*1.1)</f>
        <v>23.1</v>
      </c>
      <c r="I81" s="569">
        <f>SUM('107 (a)'!I81*1.1)</f>
        <v>96.800000000000011</v>
      </c>
      <c r="J81" s="569">
        <f>SUM('107 (a)'!J81*1.1)</f>
        <v>4.4000000000000004</v>
      </c>
      <c r="K81" s="569">
        <f>SUM('107 (a)'!K81*1.1)</f>
        <v>4.4000000000000004</v>
      </c>
      <c r="L81" s="565">
        <f>J81+K81</f>
        <v>8.8000000000000007</v>
      </c>
      <c r="M81" s="565">
        <f>I81+L81</f>
        <v>105.60000000000001</v>
      </c>
      <c r="N81" s="604"/>
      <c r="O81" s="569">
        <f>SUM('107 (a)'!O81*1.1)</f>
        <v>0</v>
      </c>
      <c r="P81" s="569">
        <f>SUM('107 (a)'!P81*1.1)</f>
        <v>0</v>
      </c>
      <c r="Q81" s="569">
        <f>SUM('107 (a)'!Q81*1.1)</f>
        <v>0</v>
      </c>
      <c r="R81" s="569">
        <f>SUM('107 (a)'!R81*1.1)</f>
        <v>0</v>
      </c>
      <c r="S81" s="569">
        <f>SUM('107 (a)'!S81*1.1)</f>
        <v>0</v>
      </c>
      <c r="T81" s="569">
        <f>SUM('107 (a)'!T81*1.1)</f>
        <v>0</v>
      </c>
      <c r="U81" s="565">
        <f t="shared" si="53"/>
        <v>0</v>
      </c>
      <c r="V81" s="570"/>
      <c r="W81" s="567"/>
      <c r="X81" s="565">
        <f>V81+W81</f>
        <v>0</v>
      </c>
      <c r="Y81" s="565">
        <f>U81+X81</f>
        <v>0</v>
      </c>
      <c r="Z81" s="601">
        <f t="shared" si="54"/>
        <v>105.60000000000001</v>
      </c>
      <c r="AB81" s="886"/>
      <c r="AC81" s="886"/>
      <c r="AE81" s="7">
        <f>14+7</f>
        <v>21</v>
      </c>
      <c r="AF81" s="7" t="s">
        <v>1347</v>
      </c>
      <c r="AI81" s="883">
        <f t="shared" si="7"/>
        <v>0</v>
      </c>
    </row>
    <row r="82" spans="1:35" s="7" customFormat="1" ht="28.5">
      <c r="A82" s="907">
        <v>4</v>
      </c>
      <c r="B82" s="904" t="s">
        <v>1331</v>
      </c>
      <c r="C82" s="569">
        <f>SUM('107 (a)'!C82*1.1)</f>
        <v>9.9</v>
      </c>
      <c r="D82" s="569">
        <f>SUM('107 (a)'!D82*1.1)</f>
        <v>20.900000000000002</v>
      </c>
      <c r="E82" s="569">
        <f>SUM('107 (a)'!E82*1.1)</f>
        <v>13.200000000000001</v>
      </c>
      <c r="F82" s="569">
        <f>SUM('107 (a)'!F82*1.1)</f>
        <v>17.600000000000001</v>
      </c>
      <c r="G82" s="569">
        <f>SUM('107 (a)'!G82*1.1)</f>
        <v>61.600000000000009</v>
      </c>
      <c r="H82" s="569">
        <f>SUM('107 (a)'!H82*1.1)</f>
        <v>0</v>
      </c>
      <c r="I82" s="569">
        <f>SUM('107 (a)'!I82*1.1)</f>
        <v>61.600000000000009</v>
      </c>
      <c r="J82" s="569">
        <f>SUM('107 (a)'!J82*1.1)</f>
        <v>18.700000000000003</v>
      </c>
      <c r="K82" s="569">
        <f>SUM('107 (a)'!K82*1.1)</f>
        <v>9.9</v>
      </c>
      <c r="L82" s="565">
        <f>J82+K82</f>
        <v>28.6</v>
      </c>
      <c r="M82" s="565">
        <f>I82+L82</f>
        <v>90.200000000000017</v>
      </c>
      <c r="N82" s="604"/>
      <c r="O82" s="569">
        <f>SUM('107 (a)'!O82*1.1)</f>
        <v>0</v>
      </c>
      <c r="P82" s="569">
        <f>SUM('107 (a)'!P82*1.1)</f>
        <v>0</v>
      </c>
      <c r="Q82" s="569">
        <f>SUM('107 (a)'!Q82*1.1)</f>
        <v>0</v>
      </c>
      <c r="R82" s="569">
        <f>SUM('107 (a)'!R82*1.1)</f>
        <v>0</v>
      </c>
      <c r="S82" s="569">
        <f>SUM('107 (a)'!S82*1.1)</f>
        <v>0</v>
      </c>
      <c r="T82" s="569">
        <f>SUM('107 (a)'!T82*1.1)</f>
        <v>0</v>
      </c>
      <c r="U82" s="565">
        <f t="shared" si="53"/>
        <v>0</v>
      </c>
      <c r="V82" s="569"/>
      <c r="W82" s="566"/>
      <c r="X82" s="565">
        <f>V82+W82</f>
        <v>0</v>
      </c>
      <c r="Y82" s="565">
        <f>U82+X82</f>
        <v>0</v>
      </c>
      <c r="Z82" s="601">
        <f t="shared" si="54"/>
        <v>90.200000000000017</v>
      </c>
      <c r="AB82" s="886"/>
      <c r="AC82" s="886"/>
      <c r="AI82" s="883">
        <f t="shared" si="7"/>
        <v>0</v>
      </c>
    </row>
    <row r="83" spans="1:35" s="7" customFormat="1" ht="18.95" customHeight="1">
      <c r="A83" s="905">
        <v>5</v>
      </c>
      <c r="B83" s="904" t="s">
        <v>1320</v>
      </c>
      <c r="C83" s="569">
        <f>SUM('107 (a)'!C83*1.1)</f>
        <v>68.2</v>
      </c>
      <c r="D83" s="569">
        <f>SUM('107 (a)'!D83*1.1)</f>
        <v>38.5</v>
      </c>
      <c r="E83" s="569">
        <f>SUM('107 (a)'!E83*1.1)</f>
        <v>34.1</v>
      </c>
      <c r="F83" s="569">
        <f>SUM('107 (a)'!F83*1.1)</f>
        <v>38.5</v>
      </c>
      <c r="G83" s="569">
        <f>SUM('107 (a)'!G83*1.1)</f>
        <v>179.3</v>
      </c>
      <c r="H83" s="569">
        <f>SUM('107 (a)'!H83*1.1)</f>
        <v>25.3</v>
      </c>
      <c r="I83" s="569">
        <f>SUM('107 (a)'!I83*1.1)</f>
        <v>204.60000000000002</v>
      </c>
      <c r="J83" s="569">
        <f>SUM('107 (a)'!J83*1.1)</f>
        <v>42.900000000000006</v>
      </c>
      <c r="K83" s="569">
        <f>SUM('107 (a)'!K83*1.1)</f>
        <v>11</v>
      </c>
      <c r="L83" s="565">
        <f>J83+K83</f>
        <v>53.900000000000006</v>
      </c>
      <c r="M83" s="565">
        <f>I83+L83</f>
        <v>258.5</v>
      </c>
      <c r="N83" s="604"/>
      <c r="O83" s="569">
        <f>SUM('107 (a)'!O83*1.1)</f>
        <v>0</v>
      </c>
      <c r="P83" s="569">
        <f>SUM('107 (a)'!P83*1.1)</f>
        <v>0</v>
      </c>
      <c r="Q83" s="569">
        <f>SUM('107 (a)'!Q83*1.1)</f>
        <v>0</v>
      </c>
      <c r="R83" s="569">
        <f>SUM('107 (a)'!R83*1.1)</f>
        <v>0</v>
      </c>
      <c r="S83" s="569">
        <f>SUM('107 (a)'!S83*1.1)</f>
        <v>0</v>
      </c>
      <c r="T83" s="569">
        <f>SUM('107 (a)'!T83*1.1)</f>
        <v>0</v>
      </c>
      <c r="U83" s="565">
        <f t="shared" si="53"/>
        <v>0</v>
      </c>
      <c r="V83" s="570"/>
      <c r="W83" s="567"/>
      <c r="X83" s="565">
        <f>V83+W83</f>
        <v>0</v>
      </c>
      <c r="Y83" s="565">
        <f>U83+X83</f>
        <v>0</v>
      </c>
      <c r="Z83" s="601">
        <f t="shared" si="54"/>
        <v>258.5</v>
      </c>
      <c r="AB83" s="886"/>
      <c r="AC83" s="886"/>
      <c r="AE83" s="7">
        <v>23</v>
      </c>
      <c r="AF83" s="7" t="s">
        <v>1350</v>
      </c>
      <c r="AI83" s="883">
        <f t="shared" si="7"/>
        <v>0</v>
      </c>
    </row>
    <row r="84" spans="1:35" s="7" customFormat="1" ht="20.100000000000001" customHeight="1">
      <c r="A84" s="736">
        <v>6</v>
      </c>
      <c r="B84" s="243"/>
      <c r="C84" s="238"/>
      <c r="D84" s="238"/>
      <c r="E84" s="238"/>
      <c r="F84" s="567"/>
      <c r="G84" s="738">
        <f t="shared" ref="G84:G86" si="55">SUM(C84:F84)</f>
        <v>0</v>
      </c>
      <c r="H84" s="567"/>
      <c r="I84" s="565">
        <f t="shared" ref="I84:I86" si="56">C84+E84+H84+D84</f>
        <v>0</v>
      </c>
      <c r="J84" s="570"/>
      <c r="K84" s="567"/>
      <c r="L84" s="565">
        <f t="shared" ref="L84:L86" si="57">J84+K84</f>
        <v>0</v>
      </c>
      <c r="M84" s="565">
        <f t="shared" ref="M84:M86" si="58">I84+L84</f>
        <v>0</v>
      </c>
      <c r="N84" s="604"/>
      <c r="O84" s="569">
        <f>SUM('107 (a)'!O84*1.1)</f>
        <v>0</v>
      </c>
      <c r="P84" s="569">
        <f>SUM('107 (a)'!P84*1.1)</f>
        <v>0</v>
      </c>
      <c r="Q84" s="569">
        <f>SUM('107 (a)'!Q84*1.1)</f>
        <v>0</v>
      </c>
      <c r="R84" s="569">
        <f>SUM('107 (a)'!R84*1.1)</f>
        <v>0</v>
      </c>
      <c r="S84" s="569">
        <f>SUM('107 (a)'!S84*1.1)</f>
        <v>0</v>
      </c>
      <c r="T84" s="569">
        <f>SUM('107 (a)'!T84*1.1)</f>
        <v>0</v>
      </c>
      <c r="U84" s="565">
        <f t="shared" si="53"/>
        <v>0</v>
      </c>
      <c r="V84" s="570"/>
      <c r="W84" s="567"/>
      <c r="X84" s="565">
        <f t="shared" ref="X84:X86" si="59">V84+W84</f>
        <v>0</v>
      </c>
      <c r="Y84" s="565">
        <f t="shared" ref="Y84:Y86" si="60">U84+X84</f>
        <v>0</v>
      </c>
      <c r="Z84" s="601">
        <f t="shared" si="54"/>
        <v>0</v>
      </c>
      <c r="AB84" s="886"/>
      <c r="AC84" s="886"/>
      <c r="AI84" s="883">
        <f t="shared" si="7"/>
        <v>0</v>
      </c>
    </row>
    <row r="85" spans="1:35" s="7" customFormat="1" ht="20.100000000000001" customHeight="1">
      <c r="A85" s="241">
        <v>7</v>
      </c>
      <c r="B85" s="243"/>
      <c r="C85" s="238"/>
      <c r="D85" s="238"/>
      <c r="E85" s="238"/>
      <c r="F85" s="567"/>
      <c r="G85" s="738">
        <f t="shared" si="55"/>
        <v>0</v>
      </c>
      <c r="H85" s="567"/>
      <c r="I85" s="565">
        <f t="shared" si="56"/>
        <v>0</v>
      </c>
      <c r="J85" s="570"/>
      <c r="K85" s="567"/>
      <c r="L85" s="565">
        <f t="shared" si="57"/>
        <v>0</v>
      </c>
      <c r="M85" s="565">
        <f t="shared" si="58"/>
        <v>0</v>
      </c>
      <c r="N85" s="604"/>
      <c r="O85" s="569">
        <f>SUM('107 (a)'!O85*1.1)</f>
        <v>0</v>
      </c>
      <c r="P85" s="569">
        <f>SUM('107 (a)'!P85*1.1)</f>
        <v>0</v>
      </c>
      <c r="Q85" s="569">
        <f>SUM('107 (a)'!Q85*1.1)</f>
        <v>0</v>
      </c>
      <c r="R85" s="569">
        <f>SUM('107 (a)'!R85*1.1)</f>
        <v>0</v>
      </c>
      <c r="S85" s="569">
        <f>SUM('107 (a)'!S85*1.1)</f>
        <v>0</v>
      </c>
      <c r="T85" s="569">
        <f>SUM('107 (a)'!T85*1.1)</f>
        <v>0</v>
      </c>
      <c r="U85" s="565">
        <f t="shared" si="53"/>
        <v>0</v>
      </c>
      <c r="V85" s="570"/>
      <c r="W85" s="567"/>
      <c r="X85" s="565">
        <f t="shared" si="59"/>
        <v>0</v>
      </c>
      <c r="Y85" s="565">
        <f t="shared" si="60"/>
        <v>0</v>
      </c>
      <c r="Z85" s="601">
        <f t="shared" si="54"/>
        <v>0</v>
      </c>
      <c r="AB85" s="886"/>
      <c r="AC85" s="886"/>
      <c r="AI85" s="883">
        <f t="shared" ref="AI85:AI121" si="61">+Y85+M85-Z85</f>
        <v>0</v>
      </c>
    </row>
    <row r="86" spans="1:35" s="7" customFormat="1" ht="20.100000000000001" customHeight="1">
      <c r="A86" s="736">
        <v>8</v>
      </c>
      <c r="B86" s="562"/>
      <c r="C86" s="359"/>
      <c r="D86" s="359"/>
      <c r="E86" s="359"/>
      <c r="F86" s="568"/>
      <c r="G86" s="738">
        <f t="shared" si="55"/>
        <v>0</v>
      </c>
      <c r="H86" s="568"/>
      <c r="I86" s="565">
        <f t="shared" si="56"/>
        <v>0</v>
      </c>
      <c r="J86" s="571"/>
      <c r="K86" s="568"/>
      <c r="L86" s="565">
        <f t="shared" si="57"/>
        <v>0</v>
      </c>
      <c r="M86" s="565">
        <f t="shared" si="58"/>
        <v>0</v>
      </c>
      <c r="N86" s="604"/>
      <c r="O86" s="569">
        <f>SUM('107 (a)'!O86*1.1)</f>
        <v>0</v>
      </c>
      <c r="P86" s="569">
        <f>SUM('107 (a)'!P86*1.1)</f>
        <v>0</v>
      </c>
      <c r="Q86" s="569">
        <f>SUM('107 (a)'!Q86*1.1)</f>
        <v>0</v>
      </c>
      <c r="R86" s="569">
        <f>SUM('107 (a)'!R86*1.1)</f>
        <v>0</v>
      </c>
      <c r="S86" s="569">
        <f>SUM('107 (a)'!S86*1.1)</f>
        <v>0</v>
      </c>
      <c r="T86" s="569">
        <f>SUM('107 (a)'!T86*1.1)</f>
        <v>0</v>
      </c>
      <c r="U86" s="565">
        <f t="shared" si="53"/>
        <v>0</v>
      </c>
      <c r="V86" s="571"/>
      <c r="W86" s="568"/>
      <c r="X86" s="565">
        <f t="shared" si="59"/>
        <v>0</v>
      </c>
      <c r="Y86" s="565">
        <f t="shared" si="60"/>
        <v>0</v>
      </c>
      <c r="Z86" s="601">
        <f t="shared" si="54"/>
        <v>0</v>
      </c>
      <c r="AB86" s="886"/>
      <c r="AC86" s="886"/>
      <c r="AI86" s="883">
        <f t="shared" si="61"/>
        <v>0</v>
      </c>
    </row>
    <row r="87" spans="1:35" ht="20.100000000000001" customHeight="1">
      <c r="A87" s="1521" t="s">
        <v>752</v>
      </c>
      <c r="B87" s="1522"/>
      <c r="C87" s="856">
        <f>SUM(C79:C86)</f>
        <v>178.20000000000002</v>
      </c>
      <c r="D87" s="856">
        <f t="shared" ref="D87:Z87" si="62">SUM(D79:D86)</f>
        <v>157.30000000000001</v>
      </c>
      <c r="E87" s="856">
        <f t="shared" si="62"/>
        <v>102.30000000000001</v>
      </c>
      <c r="F87" s="856">
        <f t="shared" si="62"/>
        <v>162.80000000000001</v>
      </c>
      <c r="G87" s="856">
        <f t="shared" si="62"/>
        <v>600.6</v>
      </c>
      <c r="H87" s="856">
        <f t="shared" si="62"/>
        <v>57.2</v>
      </c>
      <c r="I87" s="856">
        <f t="shared" si="62"/>
        <v>657.80000000000007</v>
      </c>
      <c r="J87" s="856">
        <f t="shared" si="62"/>
        <v>156.20000000000002</v>
      </c>
      <c r="K87" s="856">
        <f t="shared" si="62"/>
        <v>104.50000000000001</v>
      </c>
      <c r="L87" s="856">
        <f t="shared" si="62"/>
        <v>260.7</v>
      </c>
      <c r="M87" s="856">
        <f t="shared" si="62"/>
        <v>918.5</v>
      </c>
      <c r="N87" s="856">
        <f t="shared" si="62"/>
        <v>0</v>
      </c>
      <c r="O87" s="856">
        <f t="shared" si="62"/>
        <v>68.2</v>
      </c>
      <c r="P87" s="856">
        <f t="shared" si="62"/>
        <v>66</v>
      </c>
      <c r="Q87" s="856">
        <f t="shared" si="62"/>
        <v>62.7</v>
      </c>
      <c r="R87" s="856">
        <f t="shared" si="62"/>
        <v>52.800000000000004</v>
      </c>
      <c r="S87" s="856"/>
      <c r="T87" s="856">
        <f t="shared" si="62"/>
        <v>0</v>
      </c>
      <c r="U87" s="856">
        <f t="shared" si="62"/>
        <v>249.7</v>
      </c>
      <c r="V87" s="856">
        <f t="shared" si="62"/>
        <v>0</v>
      </c>
      <c r="W87" s="856">
        <f t="shared" si="62"/>
        <v>0</v>
      </c>
      <c r="X87" s="856">
        <f t="shared" si="62"/>
        <v>0</v>
      </c>
      <c r="Y87" s="856">
        <f t="shared" si="62"/>
        <v>249.7</v>
      </c>
      <c r="Z87" s="856">
        <f t="shared" si="62"/>
        <v>1168.2</v>
      </c>
      <c r="AI87" s="883">
        <f t="shared" si="61"/>
        <v>0</v>
      </c>
    </row>
    <row r="88" spans="1:35" ht="20.100000000000001" customHeight="1">
      <c r="A88" s="1478" t="s">
        <v>148</v>
      </c>
      <c r="B88" s="1480"/>
      <c r="C88" s="24"/>
      <c r="D88" s="24"/>
      <c r="E88" s="24"/>
      <c r="F88" s="24"/>
      <c r="G88" s="24"/>
      <c r="H88" s="24"/>
      <c r="I88" s="25"/>
      <c r="J88" s="24"/>
      <c r="K88" s="24"/>
      <c r="L88" s="25"/>
      <c r="M88" s="24"/>
      <c r="N88" s="604"/>
      <c r="O88" s="24"/>
      <c r="P88" s="24"/>
      <c r="Q88" s="24"/>
      <c r="R88" s="24"/>
      <c r="S88" s="24"/>
      <c r="T88" s="24"/>
      <c r="U88" s="25"/>
      <c r="V88" s="24"/>
      <c r="W88" s="24"/>
      <c r="X88" s="25"/>
      <c r="Y88" s="24"/>
      <c r="Z88" s="600"/>
      <c r="AI88" s="883">
        <f t="shared" si="61"/>
        <v>0</v>
      </c>
    </row>
    <row r="89" spans="1:35" s="7" customFormat="1" ht="20.100000000000001" customHeight="1">
      <c r="A89" s="240">
        <v>1</v>
      </c>
      <c r="B89" s="242"/>
      <c r="C89" s="23"/>
      <c r="D89" s="23"/>
      <c r="E89" s="23"/>
      <c r="F89" s="566"/>
      <c r="G89" s="566"/>
      <c r="H89" s="566"/>
      <c r="I89" s="565">
        <f t="shared" ref="I89:I94" si="63">C89+E89+H89+D89</f>
        <v>0</v>
      </c>
      <c r="J89" s="569"/>
      <c r="K89" s="566"/>
      <c r="L89" s="565">
        <f t="shared" ref="L89:L94" si="64">J89+K89</f>
        <v>0</v>
      </c>
      <c r="M89" s="565">
        <f t="shared" ref="M89:M94" si="65">I89+L89</f>
        <v>0</v>
      </c>
      <c r="N89" s="604"/>
      <c r="O89" s="253"/>
      <c r="P89" s="23"/>
      <c r="Q89" s="23"/>
      <c r="R89" s="566"/>
      <c r="S89" s="803">
        <f t="shared" ref="S89:S94" si="66">SUM(O89:R89)</f>
        <v>0</v>
      </c>
      <c r="T89" s="803"/>
      <c r="U89" s="565">
        <f t="shared" ref="U89:U94" si="67">SUM(S89:T89)</f>
        <v>0</v>
      </c>
      <c r="V89" s="569"/>
      <c r="W89" s="566"/>
      <c r="X89" s="565">
        <f t="shared" ref="X89:X94" si="68">V89+W89</f>
        <v>0</v>
      </c>
      <c r="Y89" s="565">
        <f t="shared" ref="Y89:Y94" si="69">U89+X89</f>
        <v>0</v>
      </c>
      <c r="Z89" s="601">
        <f t="shared" ref="Z89:Z103" si="70">Y89+M89</f>
        <v>0</v>
      </c>
      <c r="AB89" s="886"/>
      <c r="AC89" s="886"/>
      <c r="AI89" s="883">
        <f t="shared" si="61"/>
        <v>0</v>
      </c>
    </row>
    <row r="90" spans="1:35" s="7" customFormat="1" ht="20.100000000000001" customHeight="1">
      <c r="A90" s="241">
        <v>2</v>
      </c>
      <c r="B90" s="243"/>
      <c r="C90" s="238"/>
      <c r="D90" s="238"/>
      <c r="E90" s="238"/>
      <c r="F90" s="567"/>
      <c r="G90" s="567"/>
      <c r="H90" s="567"/>
      <c r="I90" s="565">
        <f t="shared" si="63"/>
        <v>0</v>
      </c>
      <c r="J90" s="570"/>
      <c r="K90" s="567"/>
      <c r="L90" s="565">
        <f t="shared" si="64"/>
        <v>0</v>
      </c>
      <c r="M90" s="565">
        <f t="shared" si="65"/>
        <v>0</v>
      </c>
      <c r="N90" s="604"/>
      <c r="O90" s="256"/>
      <c r="P90" s="238"/>
      <c r="Q90" s="238"/>
      <c r="R90" s="567"/>
      <c r="S90" s="803">
        <f t="shared" si="66"/>
        <v>0</v>
      </c>
      <c r="T90" s="804"/>
      <c r="U90" s="565">
        <f t="shared" si="67"/>
        <v>0</v>
      </c>
      <c r="V90" s="570"/>
      <c r="W90" s="567"/>
      <c r="X90" s="565">
        <f t="shared" si="68"/>
        <v>0</v>
      </c>
      <c r="Y90" s="565">
        <f t="shared" si="69"/>
        <v>0</v>
      </c>
      <c r="Z90" s="601">
        <f t="shared" si="70"/>
        <v>0</v>
      </c>
      <c r="AB90" s="886"/>
      <c r="AC90" s="886"/>
      <c r="AI90" s="883">
        <f t="shared" si="61"/>
        <v>0</v>
      </c>
    </row>
    <row r="91" spans="1:35" s="7" customFormat="1" ht="20.100000000000001" customHeight="1">
      <c r="A91" s="241">
        <v>3</v>
      </c>
      <c r="B91" s="243"/>
      <c r="C91" s="238"/>
      <c r="D91" s="238"/>
      <c r="E91" s="238"/>
      <c r="F91" s="567"/>
      <c r="G91" s="567"/>
      <c r="H91" s="567"/>
      <c r="I91" s="565">
        <f t="shared" si="63"/>
        <v>0</v>
      </c>
      <c r="J91" s="570"/>
      <c r="K91" s="567"/>
      <c r="L91" s="565">
        <f t="shared" si="64"/>
        <v>0</v>
      </c>
      <c r="M91" s="565">
        <f t="shared" si="65"/>
        <v>0</v>
      </c>
      <c r="N91" s="604"/>
      <c r="O91" s="256"/>
      <c r="P91" s="238"/>
      <c r="Q91" s="238"/>
      <c r="R91" s="567"/>
      <c r="S91" s="803">
        <f t="shared" si="66"/>
        <v>0</v>
      </c>
      <c r="T91" s="804"/>
      <c r="U91" s="565">
        <f t="shared" si="67"/>
        <v>0</v>
      </c>
      <c r="V91" s="570"/>
      <c r="W91" s="567"/>
      <c r="X91" s="565">
        <f t="shared" si="68"/>
        <v>0</v>
      </c>
      <c r="Y91" s="565">
        <f t="shared" si="69"/>
        <v>0</v>
      </c>
      <c r="Z91" s="601">
        <f t="shared" si="70"/>
        <v>0</v>
      </c>
      <c r="AB91" s="886"/>
      <c r="AC91" s="886"/>
      <c r="AI91" s="883">
        <f t="shared" si="61"/>
        <v>0</v>
      </c>
    </row>
    <row r="92" spans="1:35" s="7" customFormat="1" ht="20.100000000000001" customHeight="1">
      <c r="A92" s="241">
        <v>4</v>
      </c>
      <c r="B92" s="243"/>
      <c r="C92" s="238"/>
      <c r="D92" s="238"/>
      <c r="E92" s="238"/>
      <c r="F92" s="567"/>
      <c r="G92" s="567"/>
      <c r="H92" s="567"/>
      <c r="I92" s="565">
        <f t="shared" si="63"/>
        <v>0</v>
      </c>
      <c r="J92" s="570"/>
      <c r="K92" s="567"/>
      <c r="L92" s="565">
        <f t="shared" si="64"/>
        <v>0</v>
      </c>
      <c r="M92" s="565">
        <f t="shared" si="65"/>
        <v>0</v>
      </c>
      <c r="N92" s="604"/>
      <c r="O92" s="256"/>
      <c r="P92" s="238"/>
      <c r="Q92" s="238"/>
      <c r="R92" s="567"/>
      <c r="S92" s="803">
        <f t="shared" si="66"/>
        <v>0</v>
      </c>
      <c r="T92" s="804"/>
      <c r="U92" s="565">
        <f t="shared" si="67"/>
        <v>0</v>
      </c>
      <c r="V92" s="570"/>
      <c r="W92" s="567"/>
      <c r="X92" s="565">
        <f t="shared" si="68"/>
        <v>0</v>
      </c>
      <c r="Y92" s="565">
        <f t="shared" si="69"/>
        <v>0</v>
      </c>
      <c r="Z92" s="601">
        <f t="shared" si="70"/>
        <v>0</v>
      </c>
      <c r="AB92" s="886"/>
      <c r="AC92" s="886"/>
      <c r="AI92" s="883">
        <f t="shared" si="61"/>
        <v>0</v>
      </c>
    </row>
    <row r="93" spans="1:35" s="7" customFormat="1" ht="20.100000000000001" customHeight="1">
      <c r="A93" s="241">
        <v>5</v>
      </c>
      <c r="B93" s="243"/>
      <c r="C93" s="238"/>
      <c r="D93" s="238"/>
      <c r="E93" s="238"/>
      <c r="F93" s="567"/>
      <c r="G93" s="567"/>
      <c r="H93" s="567"/>
      <c r="I93" s="565">
        <f t="shared" si="63"/>
        <v>0</v>
      </c>
      <c r="J93" s="570"/>
      <c r="K93" s="567"/>
      <c r="L93" s="565">
        <f t="shared" si="64"/>
        <v>0</v>
      </c>
      <c r="M93" s="565">
        <f t="shared" si="65"/>
        <v>0</v>
      </c>
      <c r="N93" s="604"/>
      <c r="O93" s="256"/>
      <c r="P93" s="238"/>
      <c r="Q93" s="238"/>
      <c r="R93" s="567"/>
      <c r="S93" s="803">
        <f t="shared" si="66"/>
        <v>0</v>
      </c>
      <c r="T93" s="804"/>
      <c r="U93" s="565">
        <f t="shared" si="67"/>
        <v>0</v>
      </c>
      <c r="V93" s="570"/>
      <c r="W93" s="567"/>
      <c r="X93" s="565">
        <f t="shared" si="68"/>
        <v>0</v>
      </c>
      <c r="Y93" s="565">
        <f t="shared" si="69"/>
        <v>0</v>
      </c>
      <c r="Z93" s="601">
        <f t="shared" si="70"/>
        <v>0</v>
      </c>
      <c r="AB93" s="886"/>
      <c r="AC93" s="886"/>
      <c r="AI93" s="883">
        <f t="shared" si="61"/>
        <v>0</v>
      </c>
    </row>
    <row r="94" spans="1:35" s="7" customFormat="1" ht="20.100000000000001" customHeight="1">
      <c r="A94" s="561">
        <v>6</v>
      </c>
      <c r="B94" s="562"/>
      <c r="C94" s="359"/>
      <c r="D94" s="359"/>
      <c r="E94" s="359"/>
      <c r="F94" s="568"/>
      <c r="G94" s="568"/>
      <c r="H94" s="568"/>
      <c r="I94" s="565">
        <f t="shared" si="63"/>
        <v>0</v>
      </c>
      <c r="J94" s="571"/>
      <c r="K94" s="568"/>
      <c r="L94" s="565">
        <f t="shared" si="64"/>
        <v>0</v>
      </c>
      <c r="M94" s="565">
        <f t="shared" si="65"/>
        <v>0</v>
      </c>
      <c r="N94" s="604"/>
      <c r="O94" s="358"/>
      <c r="P94" s="359"/>
      <c r="Q94" s="359"/>
      <c r="R94" s="568"/>
      <c r="S94" s="803">
        <f t="shared" si="66"/>
        <v>0</v>
      </c>
      <c r="T94" s="804"/>
      <c r="U94" s="565">
        <f t="shared" si="67"/>
        <v>0</v>
      </c>
      <c r="V94" s="571"/>
      <c r="W94" s="568"/>
      <c r="X94" s="565">
        <f t="shared" si="68"/>
        <v>0</v>
      </c>
      <c r="Y94" s="565">
        <f t="shared" si="69"/>
        <v>0</v>
      </c>
      <c r="Z94" s="601">
        <f t="shared" si="70"/>
        <v>0</v>
      </c>
      <c r="AB94" s="886"/>
      <c r="AC94" s="886"/>
      <c r="AI94" s="883">
        <f t="shared" si="61"/>
        <v>0</v>
      </c>
    </row>
    <row r="95" spans="1:35" ht="20.100000000000001" customHeight="1">
      <c r="A95" s="1521" t="s">
        <v>752</v>
      </c>
      <c r="B95" s="1522"/>
      <c r="C95" s="560">
        <f>SUM(C89:C93)</f>
        <v>0</v>
      </c>
      <c r="D95" s="560">
        <f t="shared" ref="D95:M95" si="71">SUM(D89:D93)</f>
        <v>0</v>
      </c>
      <c r="E95" s="560">
        <f t="shared" si="71"/>
        <v>0</v>
      </c>
      <c r="F95" s="560">
        <f>SUM(F89:F93)</f>
        <v>0</v>
      </c>
      <c r="G95" s="560"/>
      <c r="H95" s="560">
        <f t="shared" si="71"/>
        <v>0</v>
      </c>
      <c r="I95" s="560">
        <f t="shared" si="71"/>
        <v>0</v>
      </c>
      <c r="J95" s="560">
        <f t="shared" si="71"/>
        <v>0</v>
      </c>
      <c r="K95" s="560">
        <f t="shared" si="71"/>
        <v>0</v>
      </c>
      <c r="L95" s="560">
        <f t="shared" si="71"/>
        <v>0</v>
      </c>
      <c r="M95" s="560">
        <f t="shared" si="71"/>
        <v>0</v>
      </c>
      <c r="N95" s="604"/>
      <c r="O95" s="560">
        <f>SUM(O89:O93)</f>
        <v>0</v>
      </c>
      <c r="P95" s="560">
        <f t="shared" ref="P95:Y95" si="72">SUM(P89:P93)</f>
        <v>0</v>
      </c>
      <c r="Q95" s="560">
        <f t="shared" si="72"/>
        <v>0</v>
      </c>
      <c r="R95" s="560">
        <f t="shared" si="72"/>
        <v>0</v>
      </c>
      <c r="S95" s="560"/>
      <c r="T95" s="560"/>
      <c r="U95" s="560">
        <f t="shared" si="72"/>
        <v>0</v>
      </c>
      <c r="V95" s="560">
        <f t="shared" si="72"/>
        <v>0</v>
      </c>
      <c r="W95" s="560">
        <f t="shared" si="72"/>
        <v>0</v>
      </c>
      <c r="X95" s="560">
        <f t="shared" si="72"/>
        <v>0</v>
      </c>
      <c r="Y95" s="560">
        <f t="shared" si="72"/>
        <v>0</v>
      </c>
      <c r="Z95" s="601">
        <f t="shared" si="70"/>
        <v>0</v>
      </c>
      <c r="AI95" s="883">
        <f t="shared" si="61"/>
        <v>0</v>
      </c>
    </row>
    <row r="96" spans="1:35" ht="20.100000000000001" customHeight="1">
      <c r="A96" s="1478" t="s">
        <v>149</v>
      </c>
      <c r="B96" s="1480"/>
      <c r="C96" s="24"/>
      <c r="D96" s="24"/>
      <c r="E96" s="24"/>
      <c r="F96" s="24"/>
      <c r="G96" s="24"/>
      <c r="H96" s="24"/>
      <c r="I96" s="25"/>
      <c r="J96" s="24"/>
      <c r="K96" s="24"/>
      <c r="L96" s="25"/>
      <c r="M96" s="24"/>
      <c r="N96" s="604"/>
      <c r="O96" s="24"/>
      <c r="P96" s="24"/>
      <c r="Q96" s="24"/>
      <c r="R96" s="24"/>
      <c r="S96" s="24"/>
      <c r="T96" s="24"/>
      <c r="U96" s="25"/>
      <c r="V96" s="24"/>
      <c r="W96" s="24"/>
      <c r="X96" s="25"/>
      <c r="Y96" s="24"/>
      <c r="Z96" s="600"/>
      <c r="AI96" s="883">
        <f t="shared" si="61"/>
        <v>0</v>
      </c>
    </row>
    <row r="97" spans="1:35" s="7" customFormat="1" ht="20.100000000000001" customHeight="1">
      <c r="A97" s="240">
        <v>1</v>
      </c>
      <c r="B97" s="242"/>
      <c r="C97" s="23"/>
      <c r="D97" s="23"/>
      <c r="E97" s="23"/>
      <c r="F97" s="566"/>
      <c r="G97" s="566"/>
      <c r="H97" s="566"/>
      <c r="I97" s="565">
        <f t="shared" ref="I97:I102" si="73">C97+E97+H97+D97</f>
        <v>0</v>
      </c>
      <c r="J97" s="569"/>
      <c r="K97" s="566"/>
      <c r="L97" s="565">
        <f t="shared" ref="L97:L102" si="74">J97+K97</f>
        <v>0</v>
      </c>
      <c r="M97" s="565">
        <f t="shared" ref="M97:M102" si="75">I97+L97</f>
        <v>0</v>
      </c>
      <c r="N97" s="604"/>
      <c r="O97" s="253"/>
      <c r="P97" s="23"/>
      <c r="Q97" s="23"/>
      <c r="R97" s="566"/>
      <c r="S97" s="803">
        <f t="shared" ref="S97:S103" si="76">SUM(O97:R97)</f>
        <v>0</v>
      </c>
      <c r="T97" s="803"/>
      <c r="U97" s="565">
        <f t="shared" ref="U97:U102" si="77">SUM(S97:T97)</f>
        <v>0</v>
      </c>
      <c r="V97" s="569"/>
      <c r="W97" s="566"/>
      <c r="X97" s="565">
        <f t="shared" ref="X97:X102" si="78">V97+W97</f>
        <v>0</v>
      </c>
      <c r="Y97" s="565">
        <f t="shared" ref="Y97:Y102" si="79">U97+X97</f>
        <v>0</v>
      </c>
      <c r="Z97" s="601">
        <f t="shared" si="70"/>
        <v>0</v>
      </c>
      <c r="AB97" s="886"/>
      <c r="AC97" s="886"/>
      <c r="AI97" s="883">
        <f t="shared" si="61"/>
        <v>0</v>
      </c>
    </row>
    <row r="98" spans="1:35" s="7" customFormat="1" ht="20.100000000000001" customHeight="1">
      <c r="A98" s="241">
        <v>2</v>
      </c>
      <c r="B98" s="243"/>
      <c r="C98" s="238"/>
      <c r="D98" s="238"/>
      <c r="E98" s="238"/>
      <c r="F98" s="567"/>
      <c r="G98" s="567"/>
      <c r="H98" s="567"/>
      <c r="I98" s="565">
        <f t="shared" si="73"/>
        <v>0</v>
      </c>
      <c r="J98" s="570"/>
      <c r="K98" s="567"/>
      <c r="L98" s="565">
        <f t="shared" si="74"/>
        <v>0</v>
      </c>
      <c r="M98" s="565">
        <f t="shared" si="75"/>
        <v>0</v>
      </c>
      <c r="N98" s="604"/>
      <c r="O98" s="256"/>
      <c r="P98" s="238"/>
      <c r="Q98" s="238"/>
      <c r="R98" s="567"/>
      <c r="S98" s="803">
        <f t="shared" si="76"/>
        <v>0</v>
      </c>
      <c r="T98" s="804"/>
      <c r="U98" s="565">
        <f t="shared" si="77"/>
        <v>0</v>
      </c>
      <c r="V98" s="570"/>
      <c r="W98" s="567"/>
      <c r="X98" s="565">
        <f t="shared" si="78"/>
        <v>0</v>
      </c>
      <c r="Y98" s="565">
        <f t="shared" si="79"/>
        <v>0</v>
      </c>
      <c r="Z98" s="601">
        <f t="shared" si="70"/>
        <v>0</v>
      </c>
      <c r="AB98" s="886"/>
      <c r="AC98" s="886"/>
      <c r="AI98" s="883">
        <f t="shared" si="61"/>
        <v>0</v>
      </c>
    </row>
    <row r="99" spans="1:35" s="7" customFormat="1" ht="20.100000000000001" customHeight="1">
      <c r="A99" s="241">
        <v>3</v>
      </c>
      <c r="B99" s="243"/>
      <c r="C99" s="238"/>
      <c r="D99" s="238"/>
      <c r="E99" s="238"/>
      <c r="F99" s="567"/>
      <c r="G99" s="567"/>
      <c r="H99" s="567"/>
      <c r="I99" s="565">
        <f t="shared" si="73"/>
        <v>0</v>
      </c>
      <c r="J99" s="570"/>
      <c r="K99" s="567"/>
      <c r="L99" s="565">
        <f t="shared" si="74"/>
        <v>0</v>
      </c>
      <c r="M99" s="565">
        <f t="shared" si="75"/>
        <v>0</v>
      </c>
      <c r="N99" s="604"/>
      <c r="O99" s="256"/>
      <c r="P99" s="238"/>
      <c r="Q99" s="238"/>
      <c r="R99" s="567"/>
      <c r="S99" s="803">
        <f t="shared" si="76"/>
        <v>0</v>
      </c>
      <c r="T99" s="804"/>
      <c r="U99" s="565">
        <f t="shared" si="77"/>
        <v>0</v>
      </c>
      <c r="V99" s="570"/>
      <c r="W99" s="567"/>
      <c r="X99" s="565">
        <f t="shared" si="78"/>
        <v>0</v>
      </c>
      <c r="Y99" s="565">
        <f t="shared" si="79"/>
        <v>0</v>
      </c>
      <c r="Z99" s="601">
        <f t="shared" si="70"/>
        <v>0</v>
      </c>
      <c r="AB99" s="886"/>
      <c r="AC99" s="886"/>
      <c r="AI99" s="883">
        <f t="shared" si="61"/>
        <v>0</v>
      </c>
    </row>
    <row r="100" spans="1:35" s="7" customFormat="1" ht="20.100000000000001" customHeight="1">
      <c r="A100" s="241">
        <v>4</v>
      </c>
      <c r="B100" s="243"/>
      <c r="C100" s="238"/>
      <c r="D100" s="238"/>
      <c r="E100" s="238"/>
      <c r="F100" s="567"/>
      <c r="G100" s="567"/>
      <c r="H100" s="567"/>
      <c r="I100" s="565">
        <f t="shared" si="73"/>
        <v>0</v>
      </c>
      <c r="J100" s="570"/>
      <c r="K100" s="567"/>
      <c r="L100" s="565">
        <f t="shared" si="74"/>
        <v>0</v>
      </c>
      <c r="M100" s="565">
        <f t="shared" si="75"/>
        <v>0</v>
      </c>
      <c r="N100" s="604"/>
      <c r="O100" s="256"/>
      <c r="P100" s="238"/>
      <c r="Q100" s="238"/>
      <c r="R100" s="567"/>
      <c r="S100" s="803">
        <f t="shared" si="76"/>
        <v>0</v>
      </c>
      <c r="T100" s="804"/>
      <c r="U100" s="565">
        <f t="shared" si="77"/>
        <v>0</v>
      </c>
      <c r="V100" s="570"/>
      <c r="W100" s="567"/>
      <c r="X100" s="565">
        <f t="shared" si="78"/>
        <v>0</v>
      </c>
      <c r="Y100" s="565">
        <f t="shared" si="79"/>
        <v>0</v>
      </c>
      <c r="Z100" s="601">
        <f t="shared" si="70"/>
        <v>0</v>
      </c>
      <c r="AB100" s="886"/>
      <c r="AC100" s="886"/>
      <c r="AI100" s="883">
        <f t="shared" si="61"/>
        <v>0</v>
      </c>
    </row>
    <row r="101" spans="1:35" s="7" customFormat="1" ht="20.100000000000001" customHeight="1">
      <c r="A101" s="241">
        <v>5</v>
      </c>
      <c r="B101" s="243"/>
      <c r="C101" s="238"/>
      <c r="D101" s="238"/>
      <c r="E101" s="238"/>
      <c r="F101" s="567"/>
      <c r="G101" s="567"/>
      <c r="H101" s="567"/>
      <c r="I101" s="565">
        <f t="shared" si="73"/>
        <v>0</v>
      </c>
      <c r="J101" s="570"/>
      <c r="K101" s="567"/>
      <c r="L101" s="565">
        <f t="shared" si="74"/>
        <v>0</v>
      </c>
      <c r="M101" s="565">
        <f t="shared" si="75"/>
        <v>0</v>
      </c>
      <c r="N101" s="604"/>
      <c r="O101" s="256"/>
      <c r="P101" s="238"/>
      <c r="Q101" s="238"/>
      <c r="R101" s="567"/>
      <c r="S101" s="803">
        <f t="shared" si="76"/>
        <v>0</v>
      </c>
      <c r="T101" s="804"/>
      <c r="U101" s="565">
        <f t="shared" si="77"/>
        <v>0</v>
      </c>
      <c r="V101" s="570"/>
      <c r="W101" s="567"/>
      <c r="X101" s="565">
        <f t="shared" si="78"/>
        <v>0</v>
      </c>
      <c r="Y101" s="565">
        <f t="shared" si="79"/>
        <v>0</v>
      </c>
      <c r="Z101" s="601">
        <f t="shared" si="70"/>
        <v>0</v>
      </c>
      <c r="AB101" s="886"/>
      <c r="AC101" s="886"/>
      <c r="AI101" s="883">
        <f t="shared" si="61"/>
        <v>0</v>
      </c>
    </row>
    <row r="102" spans="1:35" s="7" customFormat="1" ht="20.100000000000001" customHeight="1">
      <c r="A102" s="561">
        <v>6</v>
      </c>
      <c r="B102" s="562"/>
      <c r="C102" s="359"/>
      <c r="D102" s="359"/>
      <c r="E102" s="359"/>
      <c r="F102" s="568"/>
      <c r="G102" s="568"/>
      <c r="H102" s="568"/>
      <c r="I102" s="565">
        <f t="shared" si="73"/>
        <v>0</v>
      </c>
      <c r="J102" s="571"/>
      <c r="K102" s="568"/>
      <c r="L102" s="565">
        <f t="shared" si="74"/>
        <v>0</v>
      </c>
      <c r="M102" s="565">
        <f t="shared" si="75"/>
        <v>0</v>
      </c>
      <c r="N102" s="604"/>
      <c r="O102" s="358"/>
      <c r="P102" s="359"/>
      <c r="Q102" s="359"/>
      <c r="R102" s="568"/>
      <c r="S102" s="803">
        <f t="shared" si="76"/>
        <v>0</v>
      </c>
      <c r="T102" s="804"/>
      <c r="U102" s="565">
        <f t="shared" si="77"/>
        <v>0</v>
      </c>
      <c r="V102" s="571"/>
      <c r="W102" s="568"/>
      <c r="X102" s="565">
        <f t="shared" si="78"/>
        <v>0</v>
      </c>
      <c r="Y102" s="565">
        <f t="shared" si="79"/>
        <v>0</v>
      </c>
      <c r="Z102" s="601">
        <f t="shared" si="70"/>
        <v>0</v>
      </c>
      <c r="AB102" s="886"/>
      <c r="AC102" s="886"/>
      <c r="AI102" s="883">
        <f t="shared" si="61"/>
        <v>0</v>
      </c>
    </row>
    <row r="103" spans="1:35" ht="20.100000000000001" customHeight="1">
      <c r="A103" s="1521" t="s">
        <v>752</v>
      </c>
      <c r="B103" s="1522"/>
      <c r="C103" s="560">
        <f>SUM(C97:C101)</f>
        <v>0</v>
      </c>
      <c r="D103" s="560">
        <f t="shared" ref="D103:M103" si="80">SUM(D97:D101)</f>
        <v>0</v>
      </c>
      <c r="E103" s="560">
        <f t="shared" si="80"/>
        <v>0</v>
      </c>
      <c r="F103" s="560">
        <f>SUM(F97:F101)</f>
        <v>0</v>
      </c>
      <c r="G103" s="560"/>
      <c r="H103" s="560">
        <f t="shared" si="80"/>
        <v>0</v>
      </c>
      <c r="I103" s="560">
        <f t="shared" si="80"/>
        <v>0</v>
      </c>
      <c r="J103" s="560">
        <f t="shared" si="80"/>
        <v>0</v>
      </c>
      <c r="K103" s="560">
        <f t="shared" si="80"/>
        <v>0</v>
      </c>
      <c r="L103" s="560">
        <f t="shared" si="80"/>
        <v>0</v>
      </c>
      <c r="M103" s="560">
        <f t="shared" si="80"/>
        <v>0</v>
      </c>
      <c r="N103" s="604"/>
      <c r="O103" s="560">
        <f>SUM(O97:O101)</f>
        <v>0</v>
      </c>
      <c r="P103" s="560">
        <f t="shared" ref="P103:Y103" si="81">SUM(P97:P101)</f>
        <v>0</v>
      </c>
      <c r="Q103" s="560">
        <f t="shared" si="81"/>
        <v>0</v>
      </c>
      <c r="R103" s="560">
        <f t="shared" si="81"/>
        <v>0</v>
      </c>
      <c r="S103" s="803">
        <f t="shared" si="76"/>
        <v>0</v>
      </c>
      <c r="T103" s="560"/>
      <c r="U103" s="560">
        <f t="shared" si="81"/>
        <v>0</v>
      </c>
      <c r="V103" s="560">
        <f t="shared" si="81"/>
        <v>0</v>
      </c>
      <c r="W103" s="560">
        <f t="shared" si="81"/>
        <v>0</v>
      </c>
      <c r="X103" s="560">
        <f t="shared" si="81"/>
        <v>0</v>
      </c>
      <c r="Y103" s="560">
        <f t="shared" si="81"/>
        <v>0</v>
      </c>
      <c r="Z103" s="601">
        <f t="shared" si="70"/>
        <v>0</v>
      </c>
      <c r="AI103" s="883">
        <f t="shared" si="61"/>
        <v>0</v>
      </c>
    </row>
    <row r="104" spans="1:35" ht="20.100000000000001" customHeight="1">
      <c r="A104" s="1478" t="s">
        <v>354</v>
      </c>
      <c r="B104" s="1480"/>
      <c r="C104" s="24"/>
      <c r="D104" s="24"/>
      <c r="E104" s="24"/>
      <c r="F104" s="24"/>
      <c r="G104" s="24"/>
      <c r="H104" s="24"/>
      <c r="I104" s="25"/>
      <c r="J104" s="24"/>
      <c r="K104" s="24"/>
      <c r="L104" s="25"/>
      <c r="M104" s="24"/>
      <c r="N104" s="604"/>
      <c r="O104" s="24"/>
      <c r="P104" s="24"/>
      <c r="Q104" s="24"/>
      <c r="R104" s="24"/>
      <c r="S104" s="24"/>
      <c r="T104" s="24"/>
      <c r="U104" s="25"/>
      <c r="V104" s="24"/>
      <c r="W104" s="24"/>
      <c r="X104" s="25"/>
      <c r="Y104" s="24"/>
      <c r="Z104" s="600"/>
      <c r="AI104" s="883">
        <f t="shared" si="61"/>
        <v>0</v>
      </c>
    </row>
    <row r="105" spans="1:35" s="7" customFormat="1" ht="18.95" customHeight="1">
      <c r="A105" s="240">
        <v>1</v>
      </c>
      <c r="B105" s="904" t="s">
        <v>1314</v>
      </c>
      <c r="C105" s="569">
        <f>SUM('107 (a)'!C105*1.1)</f>
        <v>121.00000000000001</v>
      </c>
      <c r="D105" s="569">
        <f>SUM('107 (a)'!D105*1.1)</f>
        <v>104.50000000000001</v>
      </c>
      <c r="E105" s="569">
        <f>SUM('107 (a)'!E105*1.1)</f>
        <v>110.00000000000001</v>
      </c>
      <c r="F105" s="569">
        <f>SUM('107 (a)'!F105*1.1)</f>
        <v>118.80000000000001</v>
      </c>
      <c r="G105" s="569">
        <f>SUM('107 (a)'!G105*1.1)</f>
        <v>454.3</v>
      </c>
      <c r="H105" s="569">
        <f>SUM('107 (a)'!H105*1.1)</f>
        <v>101.2</v>
      </c>
      <c r="I105" s="569">
        <f>SUM('107 (a)'!I105*1.1)</f>
        <v>555.5</v>
      </c>
      <c r="J105" s="569">
        <f>SUM('107 (a)'!J105*1.1)</f>
        <v>66</v>
      </c>
      <c r="K105" s="569">
        <f>SUM('107 (a)'!K105*1.1)</f>
        <v>0</v>
      </c>
      <c r="L105" s="565">
        <f>J105+K105</f>
        <v>66</v>
      </c>
      <c r="M105" s="565">
        <f>I105+L105</f>
        <v>621.5</v>
      </c>
      <c r="N105" s="604"/>
      <c r="O105" s="253"/>
      <c r="P105" s="23"/>
      <c r="Q105" s="23"/>
      <c r="R105" s="566"/>
      <c r="S105" s="803">
        <f t="shared" ref="S105:S110" si="82">SUM(O105:R105)</f>
        <v>0</v>
      </c>
      <c r="T105" s="803"/>
      <c r="U105" s="565">
        <f t="shared" ref="U105:U110" si="83">SUM(S105:T105)</f>
        <v>0</v>
      </c>
      <c r="V105" s="569"/>
      <c r="W105" s="566"/>
      <c r="X105" s="565">
        <f>V105+W105</f>
        <v>0</v>
      </c>
      <c r="Y105" s="565">
        <f>U105+X105</f>
        <v>0</v>
      </c>
      <c r="Z105" s="601">
        <f t="shared" ref="Z105:Z110" si="84">Y105+M105</f>
        <v>621.5</v>
      </c>
      <c r="AB105" s="886"/>
      <c r="AC105" s="886"/>
      <c r="AE105" s="7">
        <v>46</v>
      </c>
      <c r="AF105" s="7" t="s">
        <v>1404</v>
      </c>
      <c r="AI105" s="883">
        <f t="shared" si="61"/>
        <v>0</v>
      </c>
    </row>
    <row r="106" spans="1:35" s="7" customFormat="1" ht="20.100000000000001" customHeight="1">
      <c r="A106" s="241">
        <v>2</v>
      </c>
      <c r="B106" s="243"/>
      <c r="C106" s="238"/>
      <c r="D106" s="238"/>
      <c r="E106" s="238"/>
      <c r="F106" s="567"/>
      <c r="G106" s="567"/>
      <c r="H106" s="567"/>
      <c r="I106" s="565">
        <f t="shared" ref="I106:I110" si="85">C106+E106+H106+D106</f>
        <v>0</v>
      </c>
      <c r="J106" s="570"/>
      <c r="K106" s="567"/>
      <c r="L106" s="565">
        <f t="shared" ref="L106:L110" si="86">J106+K106</f>
        <v>0</v>
      </c>
      <c r="M106" s="565">
        <f t="shared" ref="M106:M110" si="87">I106+L106</f>
        <v>0</v>
      </c>
      <c r="N106" s="604"/>
      <c r="O106" s="256"/>
      <c r="P106" s="238"/>
      <c r="Q106" s="238"/>
      <c r="R106" s="567"/>
      <c r="S106" s="803">
        <f t="shared" si="82"/>
        <v>0</v>
      </c>
      <c r="T106" s="804"/>
      <c r="U106" s="565">
        <f t="shared" si="83"/>
        <v>0</v>
      </c>
      <c r="V106" s="570"/>
      <c r="W106" s="567"/>
      <c r="X106" s="565">
        <f t="shared" ref="X106:X110" si="88">V106+W106</f>
        <v>0</v>
      </c>
      <c r="Y106" s="565">
        <f t="shared" ref="Y106:Y110" si="89">U106+X106</f>
        <v>0</v>
      </c>
      <c r="Z106" s="601">
        <f t="shared" si="84"/>
        <v>0</v>
      </c>
      <c r="AB106" s="886"/>
      <c r="AC106" s="886"/>
      <c r="AI106" s="883">
        <f t="shared" si="61"/>
        <v>0</v>
      </c>
    </row>
    <row r="107" spans="1:35" s="7" customFormat="1" ht="20.100000000000001" customHeight="1">
      <c r="A107" s="241">
        <v>3</v>
      </c>
      <c r="B107" s="243"/>
      <c r="C107" s="238"/>
      <c r="D107" s="238"/>
      <c r="E107" s="238"/>
      <c r="F107" s="567"/>
      <c r="G107" s="567"/>
      <c r="H107" s="567"/>
      <c r="I107" s="565">
        <f t="shared" si="85"/>
        <v>0</v>
      </c>
      <c r="J107" s="570"/>
      <c r="K107" s="567"/>
      <c r="L107" s="565">
        <f t="shared" si="86"/>
        <v>0</v>
      </c>
      <c r="M107" s="565">
        <f t="shared" si="87"/>
        <v>0</v>
      </c>
      <c r="N107" s="604"/>
      <c r="O107" s="256"/>
      <c r="P107" s="238"/>
      <c r="Q107" s="238"/>
      <c r="R107" s="567"/>
      <c r="S107" s="803">
        <f t="shared" si="82"/>
        <v>0</v>
      </c>
      <c r="T107" s="804"/>
      <c r="U107" s="565">
        <f t="shared" si="83"/>
        <v>0</v>
      </c>
      <c r="V107" s="570"/>
      <c r="W107" s="567"/>
      <c r="X107" s="565">
        <f t="shared" si="88"/>
        <v>0</v>
      </c>
      <c r="Y107" s="565">
        <f t="shared" si="89"/>
        <v>0</v>
      </c>
      <c r="Z107" s="601">
        <f t="shared" si="84"/>
        <v>0</v>
      </c>
      <c r="AB107" s="886"/>
      <c r="AC107" s="886"/>
      <c r="AI107" s="883">
        <f t="shared" si="61"/>
        <v>0</v>
      </c>
    </row>
    <row r="108" spans="1:35" s="7" customFormat="1" ht="20.100000000000001" customHeight="1">
      <c r="A108" s="241">
        <v>4</v>
      </c>
      <c r="B108" s="243"/>
      <c r="C108" s="238"/>
      <c r="D108" s="238"/>
      <c r="E108" s="238"/>
      <c r="F108" s="567"/>
      <c r="G108" s="567"/>
      <c r="H108" s="567"/>
      <c r="I108" s="565">
        <f t="shared" si="85"/>
        <v>0</v>
      </c>
      <c r="J108" s="570"/>
      <c r="K108" s="567"/>
      <c r="L108" s="565">
        <f t="shared" si="86"/>
        <v>0</v>
      </c>
      <c r="M108" s="565">
        <f t="shared" si="87"/>
        <v>0</v>
      </c>
      <c r="N108" s="604"/>
      <c r="O108" s="256"/>
      <c r="P108" s="238"/>
      <c r="Q108" s="238"/>
      <c r="R108" s="567"/>
      <c r="S108" s="803">
        <f t="shared" si="82"/>
        <v>0</v>
      </c>
      <c r="T108" s="804"/>
      <c r="U108" s="565">
        <f t="shared" si="83"/>
        <v>0</v>
      </c>
      <c r="V108" s="570"/>
      <c r="W108" s="567"/>
      <c r="X108" s="565">
        <f t="shared" si="88"/>
        <v>0</v>
      </c>
      <c r="Y108" s="565">
        <f t="shared" si="89"/>
        <v>0</v>
      </c>
      <c r="Z108" s="601">
        <f t="shared" si="84"/>
        <v>0</v>
      </c>
      <c r="AB108" s="886"/>
      <c r="AC108" s="886"/>
      <c r="AI108" s="883">
        <f t="shared" si="61"/>
        <v>0</v>
      </c>
    </row>
    <row r="109" spans="1:35" s="7" customFormat="1" ht="20.100000000000001" customHeight="1">
      <c r="A109" s="241">
        <v>5</v>
      </c>
      <c r="B109" s="243"/>
      <c r="C109" s="238"/>
      <c r="D109" s="238"/>
      <c r="E109" s="238"/>
      <c r="F109" s="567"/>
      <c r="G109" s="567"/>
      <c r="H109" s="567"/>
      <c r="I109" s="565">
        <f t="shared" si="85"/>
        <v>0</v>
      </c>
      <c r="J109" s="570"/>
      <c r="K109" s="567"/>
      <c r="L109" s="565">
        <f t="shared" si="86"/>
        <v>0</v>
      </c>
      <c r="M109" s="565">
        <f t="shared" si="87"/>
        <v>0</v>
      </c>
      <c r="N109" s="604"/>
      <c r="O109" s="256"/>
      <c r="P109" s="238"/>
      <c r="Q109" s="238"/>
      <c r="R109" s="567"/>
      <c r="S109" s="803">
        <f t="shared" si="82"/>
        <v>0</v>
      </c>
      <c r="T109" s="804"/>
      <c r="U109" s="565">
        <f t="shared" si="83"/>
        <v>0</v>
      </c>
      <c r="V109" s="570"/>
      <c r="W109" s="567"/>
      <c r="X109" s="565">
        <f t="shared" si="88"/>
        <v>0</v>
      </c>
      <c r="Y109" s="565">
        <f t="shared" si="89"/>
        <v>0</v>
      </c>
      <c r="Z109" s="601">
        <f t="shared" si="84"/>
        <v>0</v>
      </c>
      <c r="AB109" s="886"/>
      <c r="AC109" s="886"/>
      <c r="AI109" s="883">
        <f t="shared" si="61"/>
        <v>0</v>
      </c>
    </row>
    <row r="110" spans="1:35" s="7" customFormat="1" ht="20.100000000000001" customHeight="1">
      <c r="A110" s="561">
        <v>6</v>
      </c>
      <c r="B110" s="562"/>
      <c r="C110" s="359"/>
      <c r="D110" s="359"/>
      <c r="E110" s="359"/>
      <c r="F110" s="568"/>
      <c r="G110" s="568"/>
      <c r="H110" s="568"/>
      <c r="I110" s="565">
        <f t="shared" si="85"/>
        <v>0</v>
      </c>
      <c r="J110" s="571"/>
      <c r="K110" s="568"/>
      <c r="L110" s="565">
        <f t="shared" si="86"/>
        <v>0</v>
      </c>
      <c r="M110" s="565">
        <f t="shared" si="87"/>
        <v>0</v>
      </c>
      <c r="N110" s="604"/>
      <c r="O110" s="358"/>
      <c r="P110" s="359"/>
      <c r="Q110" s="359"/>
      <c r="R110" s="568"/>
      <c r="S110" s="803">
        <f t="shared" si="82"/>
        <v>0</v>
      </c>
      <c r="T110" s="804"/>
      <c r="U110" s="565">
        <f t="shared" si="83"/>
        <v>0</v>
      </c>
      <c r="V110" s="571"/>
      <c r="W110" s="568"/>
      <c r="X110" s="565">
        <f t="shared" si="88"/>
        <v>0</v>
      </c>
      <c r="Y110" s="565">
        <f t="shared" si="89"/>
        <v>0</v>
      </c>
      <c r="Z110" s="601">
        <f t="shared" si="84"/>
        <v>0</v>
      </c>
      <c r="AB110" s="886"/>
      <c r="AC110" s="886"/>
      <c r="AI110" s="883">
        <f t="shared" si="61"/>
        <v>0</v>
      </c>
    </row>
    <row r="111" spans="1:35" ht="20.100000000000001" customHeight="1">
      <c r="A111" s="1521" t="s">
        <v>752</v>
      </c>
      <c r="B111" s="1522"/>
      <c r="C111" s="856">
        <f>SUM(C105:C110)</f>
        <v>121.00000000000001</v>
      </c>
      <c r="D111" s="856">
        <f t="shared" ref="D111:Z111" si="90">SUM(D105:D110)</f>
        <v>104.50000000000001</v>
      </c>
      <c r="E111" s="856">
        <f t="shared" si="90"/>
        <v>110.00000000000001</v>
      </c>
      <c r="F111" s="856">
        <f t="shared" si="90"/>
        <v>118.80000000000001</v>
      </c>
      <c r="G111" s="856">
        <f t="shared" si="90"/>
        <v>454.3</v>
      </c>
      <c r="H111" s="856">
        <f t="shared" si="90"/>
        <v>101.2</v>
      </c>
      <c r="I111" s="856">
        <f t="shared" si="90"/>
        <v>555.5</v>
      </c>
      <c r="J111" s="856">
        <f t="shared" si="90"/>
        <v>66</v>
      </c>
      <c r="K111" s="856">
        <f t="shared" si="90"/>
        <v>0</v>
      </c>
      <c r="L111" s="856">
        <f t="shared" si="90"/>
        <v>66</v>
      </c>
      <c r="M111" s="856">
        <f t="shared" si="90"/>
        <v>621.5</v>
      </c>
      <c r="N111" s="856">
        <f t="shared" si="90"/>
        <v>0</v>
      </c>
      <c r="O111" s="856">
        <f t="shared" si="90"/>
        <v>0</v>
      </c>
      <c r="P111" s="856">
        <f t="shared" si="90"/>
        <v>0</v>
      </c>
      <c r="Q111" s="856">
        <f t="shared" si="90"/>
        <v>0</v>
      </c>
      <c r="R111" s="856">
        <f t="shared" si="90"/>
        <v>0</v>
      </c>
      <c r="S111" s="856"/>
      <c r="T111" s="856">
        <f t="shared" si="90"/>
        <v>0</v>
      </c>
      <c r="U111" s="856">
        <f t="shared" si="90"/>
        <v>0</v>
      </c>
      <c r="V111" s="856">
        <f t="shared" si="90"/>
        <v>0</v>
      </c>
      <c r="W111" s="856">
        <f t="shared" si="90"/>
        <v>0</v>
      </c>
      <c r="X111" s="856">
        <f t="shared" si="90"/>
        <v>0</v>
      </c>
      <c r="Y111" s="856">
        <f t="shared" si="90"/>
        <v>0</v>
      </c>
      <c r="Z111" s="856">
        <f t="shared" si="90"/>
        <v>621.5</v>
      </c>
      <c r="AI111" s="883">
        <f t="shared" si="61"/>
        <v>0</v>
      </c>
    </row>
    <row r="112" spans="1:35" ht="20.100000000000001" customHeight="1">
      <c r="A112" s="1478" t="s">
        <v>996</v>
      </c>
      <c r="B112" s="1480"/>
      <c r="C112" s="24"/>
      <c r="D112" s="24"/>
      <c r="E112" s="24"/>
      <c r="F112" s="24"/>
      <c r="G112" s="24"/>
      <c r="H112" s="24"/>
      <c r="I112" s="25"/>
      <c r="J112" s="24"/>
      <c r="K112" s="24"/>
      <c r="L112" s="25"/>
      <c r="M112" s="24"/>
      <c r="N112" s="604"/>
      <c r="O112" s="24"/>
      <c r="P112" s="24"/>
      <c r="Q112" s="24"/>
      <c r="R112" s="24"/>
      <c r="S112" s="24"/>
      <c r="T112" s="24"/>
      <c r="U112" s="25"/>
      <c r="V112" s="24"/>
      <c r="W112" s="24"/>
      <c r="X112" s="25"/>
      <c r="Y112" s="24"/>
      <c r="Z112" s="600"/>
      <c r="AI112" s="883">
        <f t="shared" si="61"/>
        <v>0</v>
      </c>
    </row>
    <row r="113" spans="1:35" s="7" customFormat="1" ht="18.95" customHeight="1">
      <c r="A113" s="241">
        <v>1</v>
      </c>
      <c r="B113" s="902" t="s">
        <v>1310</v>
      </c>
      <c r="C113" s="569">
        <f>SUM('107 (a)'!C113*1.1)</f>
        <v>41.800000000000004</v>
      </c>
      <c r="D113" s="569">
        <f>SUM('107 (a)'!D113*1.1)</f>
        <v>49.500000000000007</v>
      </c>
      <c r="E113" s="569">
        <f>SUM('107 (a)'!E113*1.1)</f>
        <v>30.800000000000004</v>
      </c>
      <c r="F113" s="569">
        <f>SUM('107 (a)'!F113*1.1)</f>
        <v>29.700000000000003</v>
      </c>
      <c r="G113" s="569">
        <f>SUM('107 (a)'!G113*1.1)</f>
        <v>151.80000000000001</v>
      </c>
      <c r="H113" s="569">
        <f>SUM('107 (a)'!H113*1.1)</f>
        <v>0</v>
      </c>
      <c r="I113" s="569">
        <f>SUM('107 (a)'!I113*1.1)</f>
        <v>151.80000000000001</v>
      </c>
      <c r="J113" s="569">
        <f>SUM('107 (a)'!J113*1.1)</f>
        <v>0</v>
      </c>
      <c r="K113" s="569">
        <f>SUM('107 (a)'!K113*1.1)</f>
        <v>0</v>
      </c>
      <c r="L113" s="565">
        <f>J113+K113</f>
        <v>0</v>
      </c>
      <c r="M113" s="565">
        <f>I113+L113</f>
        <v>151.80000000000001</v>
      </c>
      <c r="N113" s="604"/>
      <c r="O113" s="256">
        <f>6+8</f>
        <v>14</v>
      </c>
      <c r="P113" s="238">
        <f>2+2</f>
        <v>4</v>
      </c>
      <c r="Q113" s="238"/>
      <c r="R113" s="567"/>
      <c r="S113" s="803">
        <f t="shared" ref="S113:S118" si="91">SUM(O113:R113)</f>
        <v>18</v>
      </c>
      <c r="T113" s="804"/>
      <c r="U113" s="565">
        <f t="shared" ref="U113:U118" si="92">+O113+P113+Q113+R113+T113</f>
        <v>18</v>
      </c>
      <c r="V113" s="570"/>
      <c r="W113" s="567"/>
      <c r="X113" s="565">
        <f>V113+W113</f>
        <v>0</v>
      </c>
      <c r="Y113" s="565">
        <f>U113+X113</f>
        <v>18</v>
      </c>
      <c r="Z113" s="601">
        <f t="shared" ref="Z113:Z118" si="93">Y113+M113</f>
        <v>169.8</v>
      </c>
      <c r="AB113" s="886">
        <f>50500*2</f>
        <v>101000</v>
      </c>
      <c r="AC113" s="886"/>
      <c r="AI113" s="883">
        <f t="shared" si="61"/>
        <v>0</v>
      </c>
    </row>
    <row r="114" spans="1:35" s="7" customFormat="1" ht="20.100000000000001" customHeight="1">
      <c r="A114" s="241">
        <v>2</v>
      </c>
      <c r="B114" s="243"/>
      <c r="C114" s="238"/>
      <c r="D114" s="238"/>
      <c r="E114" s="238"/>
      <c r="F114" s="567"/>
      <c r="G114" s="567"/>
      <c r="H114" s="567"/>
      <c r="I114" s="565">
        <f t="shared" ref="I114:I118" si="94">C114+E114+H114+D114</f>
        <v>0</v>
      </c>
      <c r="J114" s="570"/>
      <c r="K114" s="567"/>
      <c r="L114" s="565">
        <f t="shared" ref="L114:L118" si="95">J114+K114</f>
        <v>0</v>
      </c>
      <c r="M114" s="565">
        <f t="shared" ref="M114:M118" si="96">I114+L114</f>
        <v>0</v>
      </c>
      <c r="N114" s="604"/>
      <c r="O114" s="256"/>
      <c r="P114" s="238"/>
      <c r="Q114" s="238"/>
      <c r="R114" s="567"/>
      <c r="S114" s="803">
        <f t="shared" si="91"/>
        <v>0</v>
      </c>
      <c r="T114" s="804"/>
      <c r="U114" s="565">
        <f t="shared" si="92"/>
        <v>0</v>
      </c>
      <c r="V114" s="570"/>
      <c r="W114" s="567"/>
      <c r="X114" s="565">
        <f t="shared" ref="X114:X118" si="97">V114+W114</f>
        <v>0</v>
      </c>
      <c r="Y114" s="565">
        <f t="shared" ref="Y114:Y118" si="98">U114+X114</f>
        <v>0</v>
      </c>
      <c r="Z114" s="601">
        <f t="shared" si="93"/>
        <v>0</v>
      </c>
      <c r="AB114" s="886"/>
      <c r="AC114" s="886"/>
      <c r="AI114" s="883">
        <f t="shared" si="61"/>
        <v>0</v>
      </c>
    </row>
    <row r="115" spans="1:35" s="7" customFormat="1" ht="20.100000000000001" customHeight="1">
      <c r="A115" s="241">
        <v>3</v>
      </c>
      <c r="B115" s="243"/>
      <c r="C115" s="238"/>
      <c r="D115" s="238"/>
      <c r="E115" s="238"/>
      <c r="F115" s="567"/>
      <c r="G115" s="567"/>
      <c r="H115" s="567"/>
      <c r="I115" s="565">
        <f t="shared" si="94"/>
        <v>0</v>
      </c>
      <c r="J115" s="570"/>
      <c r="K115" s="567"/>
      <c r="L115" s="565">
        <f t="shared" si="95"/>
        <v>0</v>
      </c>
      <c r="M115" s="565">
        <f t="shared" si="96"/>
        <v>0</v>
      </c>
      <c r="N115" s="604"/>
      <c r="O115" s="256"/>
      <c r="P115" s="238"/>
      <c r="Q115" s="238"/>
      <c r="R115" s="567"/>
      <c r="S115" s="803">
        <f t="shared" si="91"/>
        <v>0</v>
      </c>
      <c r="T115" s="804"/>
      <c r="U115" s="565">
        <f t="shared" si="92"/>
        <v>0</v>
      </c>
      <c r="V115" s="570"/>
      <c r="W115" s="567"/>
      <c r="X115" s="565">
        <f t="shared" si="97"/>
        <v>0</v>
      </c>
      <c r="Y115" s="565">
        <f t="shared" si="98"/>
        <v>0</v>
      </c>
      <c r="Z115" s="601">
        <f t="shared" si="93"/>
        <v>0</v>
      </c>
      <c r="AB115" s="886"/>
      <c r="AC115" s="886"/>
      <c r="AI115" s="883">
        <f t="shared" si="61"/>
        <v>0</v>
      </c>
    </row>
    <row r="116" spans="1:35" s="7" customFormat="1" ht="20.100000000000001" customHeight="1">
      <c r="A116" s="241">
        <v>4</v>
      </c>
      <c r="B116" s="243"/>
      <c r="C116" s="238"/>
      <c r="D116" s="238"/>
      <c r="E116" s="238"/>
      <c r="F116" s="567"/>
      <c r="G116" s="567"/>
      <c r="H116" s="567"/>
      <c r="I116" s="565">
        <f t="shared" si="94"/>
        <v>0</v>
      </c>
      <c r="J116" s="570"/>
      <c r="K116" s="567"/>
      <c r="L116" s="565">
        <f t="shared" si="95"/>
        <v>0</v>
      </c>
      <c r="M116" s="565">
        <f t="shared" si="96"/>
        <v>0</v>
      </c>
      <c r="N116" s="604"/>
      <c r="O116" s="256"/>
      <c r="P116" s="238"/>
      <c r="Q116" s="238"/>
      <c r="R116" s="567"/>
      <c r="S116" s="803">
        <f t="shared" si="91"/>
        <v>0</v>
      </c>
      <c r="T116" s="804"/>
      <c r="U116" s="565">
        <f t="shared" si="92"/>
        <v>0</v>
      </c>
      <c r="V116" s="570"/>
      <c r="W116" s="567"/>
      <c r="X116" s="565">
        <f t="shared" si="97"/>
        <v>0</v>
      </c>
      <c r="Y116" s="565">
        <f t="shared" si="98"/>
        <v>0</v>
      </c>
      <c r="Z116" s="601">
        <f t="shared" si="93"/>
        <v>0</v>
      </c>
      <c r="AB116" s="886"/>
      <c r="AC116" s="886"/>
      <c r="AI116" s="883">
        <f t="shared" si="61"/>
        <v>0</v>
      </c>
    </row>
    <row r="117" spans="1:35" s="7" customFormat="1" ht="20.100000000000001" customHeight="1">
      <c r="A117" s="241">
        <v>5</v>
      </c>
      <c r="B117" s="243"/>
      <c r="C117" s="238"/>
      <c r="D117" s="238"/>
      <c r="E117" s="238"/>
      <c r="F117" s="567"/>
      <c r="G117" s="567"/>
      <c r="H117" s="567"/>
      <c r="I117" s="565">
        <f t="shared" si="94"/>
        <v>0</v>
      </c>
      <c r="J117" s="570"/>
      <c r="K117" s="567"/>
      <c r="L117" s="565">
        <f t="shared" si="95"/>
        <v>0</v>
      </c>
      <c r="M117" s="565">
        <f t="shared" si="96"/>
        <v>0</v>
      </c>
      <c r="N117" s="604"/>
      <c r="O117" s="256"/>
      <c r="P117" s="238"/>
      <c r="Q117" s="238"/>
      <c r="R117" s="567"/>
      <c r="S117" s="803">
        <f t="shared" si="91"/>
        <v>0</v>
      </c>
      <c r="T117" s="804"/>
      <c r="U117" s="565">
        <f t="shared" si="92"/>
        <v>0</v>
      </c>
      <c r="V117" s="570"/>
      <c r="W117" s="567"/>
      <c r="X117" s="565">
        <f t="shared" si="97"/>
        <v>0</v>
      </c>
      <c r="Y117" s="565">
        <f t="shared" si="98"/>
        <v>0</v>
      </c>
      <c r="Z117" s="601">
        <f t="shared" si="93"/>
        <v>0</v>
      </c>
      <c r="AB117" s="886"/>
      <c r="AC117" s="886"/>
      <c r="AI117" s="883">
        <f t="shared" si="61"/>
        <v>0</v>
      </c>
    </row>
    <row r="118" spans="1:35" s="7" customFormat="1" ht="20.100000000000001" customHeight="1">
      <c r="A118" s="561">
        <v>6</v>
      </c>
      <c r="B118" s="562"/>
      <c r="C118" s="359"/>
      <c r="D118" s="359"/>
      <c r="E118" s="359"/>
      <c r="F118" s="568"/>
      <c r="G118" s="568"/>
      <c r="H118" s="568"/>
      <c r="I118" s="565">
        <f t="shared" si="94"/>
        <v>0</v>
      </c>
      <c r="J118" s="571"/>
      <c r="K118" s="568"/>
      <c r="L118" s="565">
        <f t="shared" si="95"/>
        <v>0</v>
      </c>
      <c r="M118" s="565">
        <f t="shared" si="96"/>
        <v>0</v>
      </c>
      <c r="N118" s="604"/>
      <c r="O118" s="358"/>
      <c r="P118" s="359"/>
      <c r="Q118" s="359"/>
      <c r="R118" s="568"/>
      <c r="S118" s="803">
        <f t="shared" si="91"/>
        <v>0</v>
      </c>
      <c r="T118" s="804"/>
      <c r="U118" s="565">
        <f t="shared" si="92"/>
        <v>0</v>
      </c>
      <c r="V118" s="571"/>
      <c r="W118" s="568"/>
      <c r="X118" s="565">
        <f t="shared" si="97"/>
        <v>0</v>
      </c>
      <c r="Y118" s="565">
        <f t="shared" si="98"/>
        <v>0</v>
      </c>
      <c r="Z118" s="601">
        <f t="shared" si="93"/>
        <v>0</v>
      </c>
      <c r="AB118" s="886"/>
      <c r="AC118" s="886"/>
      <c r="AI118" s="883">
        <f t="shared" si="61"/>
        <v>0</v>
      </c>
    </row>
    <row r="119" spans="1:35" ht="20.100000000000001" customHeight="1">
      <c r="A119" s="1521" t="s">
        <v>752</v>
      </c>
      <c r="B119" s="1522"/>
      <c r="C119" s="856">
        <f>SUM(C113:C118)</f>
        <v>41.800000000000004</v>
      </c>
      <c r="D119" s="856">
        <f t="shared" ref="D119:Z119" si="99">SUM(D113:D118)</f>
        <v>49.500000000000007</v>
      </c>
      <c r="E119" s="856">
        <f t="shared" si="99"/>
        <v>30.800000000000004</v>
      </c>
      <c r="F119" s="856">
        <f t="shared" si="99"/>
        <v>29.700000000000003</v>
      </c>
      <c r="G119" s="856">
        <f t="shared" si="99"/>
        <v>151.80000000000001</v>
      </c>
      <c r="H119" s="856">
        <f t="shared" si="99"/>
        <v>0</v>
      </c>
      <c r="I119" s="856">
        <f t="shared" si="99"/>
        <v>151.80000000000001</v>
      </c>
      <c r="J119" s="856">
        <f t="shared" si="99"/>
        <v>0</v>
      </c>
      <c r="K119" s="856">
        <f t="shared" si="99"/>
        <v>0</v>
      </c>
      <c r="L119" s="856">
        <f t="shared" si="99"/>
        <v>0</v>
      </c>
      <c r="M119" s="856">
        <f t="shared" si="99"/>
        <v>151.80000000000001</v>
      </c>
      <c r="N119" s="856">
        <f t="shared" si="99"/>
        <v>0</v>
      </c>
      <c r="O119" s="856">
        <f t="shared" si="99"/>
        <v>14</v>
      </c>
      <c r="P119" s="856">
        <f t="shared" si="99"/>
        <v>4</v>
      </c>
      <c r="Q119" s="856">
        <f t="shared" si="99"/>
        <v>0</v>
      </c>
      <c r="R119" s="856">
        <f t="shared" si="99"/>
        <v>0</v>
      </c>
      <c r="S119" s="856"/>
      <c r="T119" s="856">
        <f t="shared" si="99"/>
        <v>0</v>
      </c>
      <c r="U119" s="856">
        <f t="shared" si="99"/>
        <v>18</v>
      </c>
      <c r="V119" s="856">
        <f t="shared" si="99"/>
        <v>0</v>
      </c>
      <c r="W119" s="856">
        <f t="shared" si="99"/>
        <v>0</v>
      </c>
      <c r="X119" s="856">
        <f t="shared" si="99"/>
        <v>0</v>
      </c>
      <c r="Y119" s="856">
        <f t="shared" si="99"/>
        <v>18</v>
      </c>
      <c r="Z119" s="856">
        <f t="shared" si="99"/>
        <v>169.8</v>
      </c>
      <c r="AI119" s="883">
        <f t="shared" si="61"/>
        <v>0</v>
      </c>
    </row>
    <row r="120" spans="1:35" ht="34.5" customHeight="1">
      <c r="A120" s="1537" t="s">
        <v>136</v>
      </c>
      <c r="B120" s="1538"/>
      <c r="C120" s="602">
        <f>C20+C36+C43+C54+C69+C77+C87+C95+C103+C119+C111</f>
        <v>2158.2000000000003</v>
      </c>
      <c r="D120" s="602">
        <f>D20+D36+D43+D54+D69+D77+D87+D95+D103+D119+D111</f>
        <v>2019.6000000000001</v>
      </c>
      <c r="E120" s="602">
        <f>E20+E36+E43+E54+E69+E77+E87+E95+E103+E119+E111</f>
        <v>1510.3000000000002</v>
      </c>
      <c r="F120" s="602">
        <f>F20+F36+F43+F54+F69+F77+F87+F95+F103+F119+F111</f>
        <v>1410.2</v>
      </c>
      <c r="G120" s="738">
        <f>SUM(C120:F120)</f>
        <v>7098.3</v>
      </c>
      <c r="H120" s="602">
        <f t="shared" ref="H120:M120" si="100">H20+H36+H43+H54+H69+H77+H87+H95+H103+H119+H111</f>
        <v>2887.4999999999995</v>
      </c>
      <c r="I120" s="602">
        <f>I20+I36+I43+I54+I69+I77+I87+I95+I103+I119+I111</f>
        <v>9985.7999999999993</v>
      </c>
      <c r="J120" s="602">
        <f t="shared" si="100"/>
        <v>1736.9000000000003</v>
      </c>
      <c r="K120" s="602">
        <f t="shared" si="100"/>
        <v>827.2</v>
      </c>
      <c r="L120" s="602">
        <f t="shared" si="100"/>
        <v>2564.1000000000004</v>
      </c>
      <c r="M120" s="602">
        <f t="shared" si="100"/>
        <v>12549.9</v>
      </c>
      <c r="N120" s="605"/>
      <c r="O120" s="602">
        <f t="shared" ref="O120:Y120" si="101">O20+O36+O43+O54+O69+O77+O87+O95+O103+O119+O111</f>
        <v>1071.1000000000001</v>
      </c>
      <c r="P120" s="602">
        <f t="shared" si="101"/>
        <v>1220.5999999999999</v>
      </c>
      <c r="Q120" s="602">
        <f t="shared" si="101"/>
        <v>811.80000000000007</v>
      </c>
      <c r="R120" s="602">
        <f t="shared" si="101"/>
        <v>381.70000000000005</v>
      </c>
      <c r="S120" s="602">
        <f t="shared" si="101"/>
        <v>1328.8000000000002</v>
      </c>
      <c r="T120" s="602">
        <f t="shared" si="101"/>
        <v>420.20000000000005</v>
      </c>
      <c r="U120" s="602">
        <f t="shared" si="101"/>
        <v>3905.3999999999996</v>
      </c>
      <c r="V120" s="602">
        <f t="shared" si="101"/>
        <v>0</v>
      </c>
      <c r="W120" s="602">
        <f t="shared" si="101"/>
        <v>0</v>
      </c>
      <c r="X120" s="602">
        <f t="shared" si="101"/>
        <v>0</v>
      </c>
      <c r="Y120" s="602">
        <f t="shared" si="101"/>
        <v>3905.3999999999996</v>
      </c>
      <c r="Z120" s="602">
        <f>Z20+Z36+Z43+Z54+Z69+Z77+Z87+Z95+Z103+Z119+Z111</f>
        <v>16455.300000000003</v>
      </c>
      <c r="AC120" s="883">
        <f>+Y120+M120</f>
        <v>16455.3</v>
      </c>
      <c r="AE120" s="9">
        <f>SUM(AE1:AE119)</f>
        <v>439</v>
      </c>
      <c r="AF120" s="9">
        <f>SUM(AF1:AF119)</f>
        <v>108</v>
      </c>
      <c r="AG120" s="9">
        <f>SUM(AG1:AG119)</f>
        <v>0</v>
      </c>
      <c r="AI120" s="883">
        <f t="shared" si="61"/>
        <v>0</v>
      </c>
    </row>
    <row r="121" spans="1:35">
      <c r="AC121" s="883">
        <f>+'102(a)'!C29</f>
        <v>15035</v>
      </c>
      <c r="AI121" s="883">
        <f t="shared" si="61"/>
        <v>0</v>
      </c>
    </row>
    <row r="122" spans="1:35">
      <c r="AC122" s="883">
        <f>+'102(a)'!C33</f>
        <v>74</v>
      </c>
      <c r="AF122" s="9">
        <f>+AF120+AE120</f>
        <v>547</v>
      </c>
    </row>
    <row r="123" spans="1:35">
      <c r="AC123" s="883">
        <f>+AC121-AC122</f>
        <v>14961</v>
      </c>
      <c r="AF123" s="799">
        <f>+AF122+Z120</f>
        <v>17002.300000000003</v>
      </c>
    </row>
    <row r="124" spans="1:35">
      <c r="B124" s="612"/>
      <c r="C124" s="612"/>
      <c r="D124" s="612"/>
      <c r="E124" s="612"/>
      <c r="F124" s="612"/>
      <c r="G124" s="612"/>
      <c r="H124" s="901">
        <f>+H120+G120</f>
        <v>9985.7999999999993</v>
      </c>
      <c r="U124" s="612"/>
      <c r="V124" s="612"/>
      <c r="W124" s="612"/>
      <c r="X124" s="612"/>
      <c r="Y124" s="612"/>
      <c r="Z124" s="614"/>
      <c r="AC124" s="883">
        <f>+AC120-AC123</f>
        <v>1494.2999999999993</v>
      </c>
    </row>
    <row r="125" spans="1:35" ht="18">
      <c r="B125" s="613" t="s">
        <v>1028</v>
      </c>
      <c r="C125" s="611"/>
      <c r="D125" s="611"/>
      <c r="E125" s="611"/>
      <c r="U125" s="613" t="s">
        <v>1029</v>
      </c>
      <c r="V125" s="611"/>
      <c r="W125" s="611"/>
      <c r="X125" s="611"/>
      <c r="Y125" s="1"/>
    </row>
    <row r="132" spans="10:10">
      <c r="J132" s="800">
        <f>+I120+J120+K120</f>
        <v>12549.9</v>
      </c>
    </row>
    <row r="133" spans="10:10">
      <c r="J133" s="800">
        <f>+Y120</f>
        <v>3905.3999999999996</v>
      </c>
    </row>
    <row r="134" spans="10:10">
      <c r="J134" s="800">
        <f>+J132+J133</f>
        <v>16455.3</v>
      </c>
    </row>
    <row r="135" spans="10:10">
      <c r="J135" s="1">
        <f>+'102(a)'!C29</f>
        <v>15035</v>
      </c>
    </row>
    <row r="136" spans="10:10">
      <c r="J136" s="800">
        <f>+J134-J135</f>
        <v>1420.2999999999993</v>
      </c>
    </row>
  </sheetData>
  <mergeCells count="40">
    <mergeCell ref="Y1:Z1"/>
    <mergeCell ref="A2:Z2"/>
    <mergeCell ref="C3:M3"/>
    <mergeCell ref="A5:B8"/>
    <mergeCell ref="C5:M5"/>
    <mergeCell ref="O5:Y5"/>
    <mergeCell ref="Z5:Z8"/>
    <mergeCell ref="C6:M6"/>
    <mergeCell ref="O6:Y6"/>
    <mergeCell ref="C7:I7"/>
    <mergeCell ref="A43:B43"/>
    <mergeCell ref="J7:L7"/>
    <mergeCell ref="M7:M8"/>
    <mergeCell ref="O7:U7"/>
    <mergeCell ref="V7:X7"/>
    <mergeCell ref="A20:B20"/>
    <mergeCell ref="A21:M21"/>
    <mergeCell ref="O21:Y21"/>
    <mergeCell ref="A36:B36"/>
    <mergeCell ref="A37:B37"/>
    <mergeCell ref="Y7:Y8"/>
    <mergeCell ref="A9:M9"/>
    <mergeCell ref="O9:Y9"/>
    <mergeCell ref="A103:B103"/>
    <mergeCell ref="A44:B44"/>
    <mergeCell ref="A54:B54"/>
    <mergeCell ref="A55:B55"/>
    <mergeCell ref="A69:B69"/>
    <mergeCell ref="A70:B70"/>
    <mergeCell ref="A77:B77"/>
    <mergeCell ref="A78:B78"/>
    <mergeCell ref="A87:B87"/>
    <mergeCell ref="A88:B88"/>
    <mergeCell ref="A95:B95"/>
    <mergeCell ref="A96:B96"/>
    <mergeCell ref="A104:B104"/>
    <mergeCell ref="A111:B111"/>
    <mergeCell ref="A112:B112"/>
    <mergeCell ref="A119:B119"/>
    <mergeCell ref="A120:B120"/>
  </mergeCells>
  <hyperlinks>
    <hyperlink ref="C7:I7" location="PQF!A1" display="PQF!A1"/>
    <hyperlink ref="J7:L7" location="PQF!A1" display="PQF!A1"/>
    <hyperlink ref="V7:X7" location="PQF!A1" display="PQF!A1"/>
    <hyperlink ref="O7:U7" location="PQF!A1" display="PQF!A1"/>
    <hyperlink ref="F7" location="PQF!A1" display="PQF!A1"/>
  </hyperlinks>
  <printOptions horizontalCentered="1"/>
  <pageMargins left="0.25" right="0.25" top="0.25" bottom="0.25" header="0.5" footer="0.5"/>
  <pageSetup paperSize="9" scale="65" fitToWidth="0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AL127"/>
  <sheetViews>
    <sheetView view="pageBreakPreview" zoomScale="80" zoomScaleNormal="69" zoomScaleSheetLayoutView="80" workbookViewId="0">
      <pane xSplit="2" ySplit="10" topLeftCell="C96" activePane="bottomRight" state="frozen"/>
      <selection pane="topRight" activeCell="C1" sqref="C1"/>
      <selection pane="bottomLeft" activeCell="A11" sqref="A11"/>
      <selection pane="bottomRight" activeCell="B46" sqref="A46:L118"/>
    </sheetView>
  </sheetViews>
  <sheetFormatPr defaultRowHeight="15.75"/>
  <cols>
    <col min="1" max="1" width="3.7109375" style="233" customWidth="1"/>
    <col min="2" max="2" width="22.7109375" style="190" customWidth="1"/>
    <col min="3" max="11" width="8.7109375" style="1" customWidth="1"/>
    <col min="12" max="12" width="9.5703125" style="1" customWidth="1"/>
    <col min="13" max="13" width="1.28515625" style="1" customWidth="1"/>
    <col min="14" max="14" width="9.140625" style="1" customWidth="1"/>
    <col min="15" max="15" width="8.7109375" style="1" customWidth="1"/>
    <col min="16" max="16" width="9.28515625" style="1" customWidth="1"/>
    <col min="17" max="19" width="8.7109375" style="1" customWidth="1"/>
    <col min="20" max="22" width="7.28515625" style="1" customWidth="1"/>
    <col min="23" max="23" width="8.7109375" style="1" customWidth="1"/>
    <col min="24" max="24" width="13.7109375" style="599" customWidth="1"/>
    <col min="25" max="25" width="14.28515625" style="9" customWidth="1"/>
    <col min="26" max="27" width="8.85546875" style="857" customWidth="1"/>
    <col min="28" max="28" width="10.28515625" style="857" customWidth="1"/>
    <col min="29" max="30" width="8.85546875" style="857" customWidth="1"/>
    <col min="31" max="31" width="14.28515625" style="857" customWidth="1"/>
    <col min="32" max="246" width="9.140625" style="9"/>
    <col min="247" max="247" width="38.5703125" style="9" customWidth="1"/>
    <col min="248" max="248" width="6.5703125" style="9" customWidth="1"/>
    <col min="249" max="249" width="7.7109375" style="9" bestFit="1" customWidth="1"/>
    <col min="250" max="250" width="7.28515625" style="9" customWidth="1"/>
    <col min="251" max="251" width="6.5703125" style="9" bestFit="1" customWidth="1"/>
    <col min="252" max="252" width="7.28515625" style="9" bestFit="1" customWidth="1"/>
    <col min="253" max="253" width="8.140625" style="9" customWidth="1"/>
    <col min="254" max="254" width="7.140625" style="9" customWidth="1"/>
    <col min="255" max="255" width="7.7109375" style="9" bestFit="1" customWidth="1"/>
    <col min="256" max="256" width="7.28515625" style="9" customWidth="1"/>
    <col min="257" max="257" width="7" style="9" customWidth="1"/>
    <col min="258" max="258" width="7.5703125" style="9" customWidth="1"/>
    <col min="259" max="259" width="7.140625" style="9" customWidth="1"/>
    <col min="260" max="260" width="7" style="9" customWidth="1"/>
    <col min="261" max="261" width="7.5703125" style="9" customWidth="1"/>
    <col min="262" max="262" width="7.140625" style="9" customWidth="1"/>
    <col min="263" max="279" width="8.7109375" style="9" customWidth="1"/>
    <col min="280" max="280" width="36.85546875" style="9" customWidth="1"/>
    <col min="281" max="287" width="14.28515625" style="9" customWidth="1"/>
    <col min="288" max="502" width="9.140625" style="9"/>
    <col min="503" max="503" width="38.5703125" style="9" customWidth="1"/>
    <col min="504" max="504" width="6.5703125" style="9" customWidth="1"/>
    <col min="505" max="505" width="7.7109375" style="9" bestFit="1" customWidth="1"/>
    <col min="506" max="506" width="7.28515625" style="9" customWidth="1"/>
    <col min="507" max="507" width="6.5703125" style="9" bestFit="1" customWidth="1"/>
    <col min="508" max="508" width="7.28515625" style="9" bestFit="1" customWidth="1"/>
    <col min="509" max="509" width="8.140625" style="9" customWidth="1"/>
    <col min="510" max="510" width="7.140625" style="9" customWidth="1"/>
    <col min="511" max="511" width="7.7109375" style="9" bestFit="1" customWidth="1"/>
    <col min="512" max="512" width="7.28515625" style="9" customWidth="1"/>
    <col min="513" max="513" width="7" style="9" customWidth="1"/>
    <col min="514" max="514" width="7.5703125" style="9" customWidth="1"/>
    <col min="515" max="515" width="7.140625" style="9" customWidth="1"/>
    <col min="516" max="516" width="7" style="9" customWidth="1"/>
    <col min="517" max="517" width="7.5703125" style="9" customWidth="1"/>
    <col min="518" max="518" width="7.140625" style="9" customWidth="1"/>
    <col min="519" max="535" width="8.7109375" style="9" customWidth="1"/>
    <col min="536" max="536" width="36.85546875" style="9" customWidth="1"/>
    <col min="537" max="543" width="14.28515625" style="9" customWidth="1"/>
    <col min="544" max="758" width="9.140625" style="9"/>
    <col min="759" max="759" width="38.5703125" style="9" customWidth="1"/>
    <col min="760" max="760" width="6.5703125" style="9" customWidth="1"/>
    <col min="761" max="761" width="7.7109375" style="9" bestFit="1" customWidth="1"/>
    <col min="762" max="762" width="7.28515625" style="9" customWidth="1"/>
    <col min="763" max="763" width="6.5703125" style="9" bestFit="1" customWidth="1"/>
    <col min="764" max="764" width="7.28515625" style="9" bestFit="1" customWidth="1"/>
    <col min="765" max="765" width="8.140625" style="9" customWidth="1"/>
    <col min="766" max="766" width="7.140625" style="9" customWidth="1"/>
    <col min="767" max="767" width="7.7109375" style="9" bestFit="1" customWidth="1"/>
    <col min="768" max="768" width="7.28515625" style="9" customWidth="1"/>
    <col min="769" max="769" width="7" style="9" customWidth="1"/>
    <col min="770" max="770" width="7.5703125" style="9" customWidth="1"/>
    <col min="771" max="771" width="7.140625" style="9" customWidth="1"/>
    <col min="772" max="772" width="7" style="9" customWidth="1"/>
    <col min="773" max="773" width="7.5703125" style="9" customWidth="1"/>
    <col min="774" max="774" width="7.140625" style="9" customWidth="1"/>
    <col min="775" max="791" width="8.7109375" style="9" customWidth="1"/>
    <col min="792" max="792" width="36.85546875" style="9" customWidth="1"/>
    <col min="793" max="799" width="14.28515625" style="9" customWidth="1"/>
    <col min="800" max="1014" width="9.140625" style="9"/>
    <col min="1015" max="1015" width="38.5703125" style="9" customWidth="1"/>
    <col min="1016" max="1016" width="6.5703125" style="9" customWidth="1"/>
    <col min="1017" max="1017" width="7.7109375" style="9" bestFit="1" customWidth="1"/>
    <col min="1018" max="1018" width="7.28515625" style="9" customWidth="1"/>
    <col min="1019" max="1019" width="6.5703125" style="9" bestFit="1" customWidth="1"/>
    <col min="1020" max="1020" width="7.28515625" style="9" bestFit="1" customWidth="1"/>
    <col min="1021" max="1021" width="8.140625" style="9" customWidth="1"/>
    <col min="1022" max="1022" width="7.140625" style="9" customWidth="1"/>
    <col min="1023" max="1023" width="7.7109375" style="9" bestFit="1" customWidth="1"/>
    <col min="1024" max="1024" width="7.28515625" style="9" customWidth="1"/>
    <col min="1025" max="1025" width="7" style="9" customWidth="1"/>
    <col min="1026" max="1026" width="7.5703125" style="9" customWidth="1"/>
    <col min="1027" max="1027" width="7.140625" style="9" customWidth="1"/>
    <col min="1028" max="1028" width="7" style="9" customWidth="1"/>
    <col min="1029" max="1029" width="7.5703125" style="9" customWidth="1"/>
    <col min="1030" max="1030" width="7.140625" style="9" customWidth="1"/>
    <col min="1031" max="1047" width="8.7109375" style="9" customWidth="1"/>
    <col min="1048" max="1048" width="36.85546875" style="9" customWidth="1"/>
    <col min="1049" max="1055" width="14.28515625" style="9" customWidth="1"/>
    <col min="1056" max="1270" width="9.140625" style="9"/>
    <col min="1271" max="1271" width="38.5703125" style="9" customWidth="1"/>
    <col min="1272" max="1272" width="6.5703125" style="9" customWidth="1"/>
    <col min="1273" max="1273" width="7.7109375" style="9" bestFit="1" customWidth="1"/>
    <col min="1274" max="1274" width="7.28515625" style="9" customWidth="1"/>
    <col min="1275" max="1275" width="6.5703125" style="9" bestFit="1" customWidth="1"/>
    <col min="1276" max="1276" width="7.28515625" style="9" bestFit="1" customWidth="1"/>
    <col min="1277" max="1277" width="8.140625" style="9" customWidth="1"/>
    <col min="1278" max="1278" width="7.140625" style="9" customWidth="1"/>
    <col min="1279" max="1279" width="7.7109375" style="9" bestFit="1" customWidth="1"/>
    <col min="1280" max="1280" width="7.28515625" style="9" customWidth="1"/>
    <col min="1281" max="1281" width="7" style="9" customWidth="1"/>
    <col min="1282" max="1282" width="7.5703125" style="9" customWidth="1"/>
    <col min="1283" max="1283" width="7.140625" style="9" customWidth="1"/>
    <col min="1284" max="1284" width="7" style="9" customWidth="1"/>
    <col min="1285" max="1285" width="7.5703125" style="9" customWidth="1"/>
    <col min="1286" max="1286" width="7.140625" style="9" customWidth="1"/>
    <col min="1287" max="1303" width="8.7109375" style="9" customWidth="1"/>
    <col min="1304" max="1304" width="36.85546875" style="9" customWidth="1"/>
    <col min="1305" max="1311" width="14.28515625" style="9" customWidth="1"/>
    <col min="1312" max="1526" width="9.140625" style="9"/>
    <col min="1527" max="1527" width="38.5703125" style="9" customWidth="1"/>
    <col min="1528" max="1528" width="6.5703125" style="9" customWidth="1"/>
    <col min="1529" max="1529" width="7.7109375" style="9" bestFit="1" customWidth="1"/>
    <col min="1530" max="1530" width="7.28515625" style="9" customWidth="1"/>
    <col min="1531" max="1531" width="6.5703125" style="9" bestFit="1" customWidth="1"/>
    <col min="1532" max="1532" width="7.28515625" style="9" bestFit="1" customWidth="1"/>
    <col min="1533" max="1533" width="8.140625" style="9" customWidth="1"/>
    <col min="1534" max="1534" width="7.140625" style="9" customWidth="1"/>
    <col min="1535" max="1535" width="7.7109375" style="9" bestFit="1" customWidth="1"/>
    <col min="1536" max="1536" width="7.28515625" style="9" customWidth="1"/>
    <col min="1537" max="1537" width="7" style="9" customWidth="1"/>
    <col min="1538" max="1538" width="7.5703125" style="9" customWidth="1"/>
    <col min="1539" max="1539" width="7.140625" style="9" customWidth="1"/>
    <col min="1540" max="1540" width="7" style="9" customWidth="1"/>
    <col min="1541" max="1541" width="7.5703125" style="9" customWidth="1"/>
    <col min="1542" max="1542" width="7.140625" style="9" customWidth="1"/>
    <col min="1543" max="1559" width="8.7109375" style="9" customWidth="1"/>
    <col min="1560" max="1560" width="36.85546875" style="9" customWidth="1"/>
    <col min="1561" max="1567" width="14.28515625" style="9" customWidth="1"/>
    <col min="1568" max="1782" width="9.140625" style="9"/>
    <col min="1783" max="1783" width="38.5703125" style="9" customWidth="1"/>
    <col min="1784" max="1784" width="6.5703125" style="9" customWidth="1"/>
    <col min="1785" max="1785" width="7.7109375" style="9" bestFit="1" customWidth="1"/>
    <col min="1786" max="1786" width="7.28515625" style="9" customWidth="1"/>
    <col min="1787" max="1787" width="6.5703125" style="9" bestFit="1" customWidth="1"/>
    <col min="1788" max="1788" width="7.28515625" style="9" bestFit="1" customWidth="1"/>
    <col min="1789" max="1789" width="8.140625" style="9" customWidth="1"/>
    <col min="1790" max="1790" width="7.140625" style="9" customWidth="1"/>
    <col min="1791" max="1791" width="7.7109375" style="9" bestFit="1" customWidth="1"/>
    <col min="1792" max="1792" width="7.28515625" style="9" customWidth="1"/>
    <col min="1793" max="1793" width="7" style="9" customWidth="1"/>
    <col min="1794" max="1794" width="7.5703125" style="9" customWidth="1"/>
    <col min="1795" max="1795" width="7.140625" style="9" customWidth="1"/>
    <col min="1796" max="1796" width="7" style="9" customWidth="1"/>
    <col min="1797" max="1797" width="7.5703125" style="9" customWidth="1"/>
    <col min="1798" max="1798" width="7.140625" style="9" customWidth="1"/>
    <col min="1799" max="1815" width="8.7109375" style="9" customWidth="1"/>
    <col min="1816" max="1816" width="36.85546875" style="9" customWidth="1"/>
    <col min="1817" max="1823" width="14.28515625" style="9" customWidth="1"/>
    <col min="1824" max="2038" width="9.140625" style="9"/>
    <col min="2039" max="2039" width="38.5703125" style="9" customWidth="1"/>
    <col min="2040" max="2040" width="6.5703125" style="9" customWidth="1"/>
    <col min="2041" max="2041" width="7.7109375" style="9" bestFit="1" customWidth="1"/>
    <col min="2042" max="2042" width="7.28515625" style="9" customWidth="1"/>
    <col min="2043" max="2043" width="6.5703125" style="9" bestFit="1" customWidth="1"/>
    <col min="2044" max="2044" width="7.28515625" style="9" bestFit="1" customWidth="1"/>
    <col min="2045" max="2045" width="8.140625" style="9" customWidth="1"/>
    <col min="2046" max="2046" width="7.140625" style="9" customWidth="1"/>
    <col min="2047" max="2047" width="7.7109375" style="9" bestFit="1" customWidth="1"/>
    <col min="2048" max="2048" width="7.28515625" style="9" customWidth="1"/>
    <col min="2049" max="2049" width="7" style="9" customWidth="1"/>
    <col min="2050" max="2050" width="7.5703125" style="9" customWidth="1"/>
    <col min="2051" max="2051" width="7.140625" style="9" customWidth="1"/>
    <col min="2052" max="2052" width="7" style="9" customWidth="1"/>
    <col min="2053" max="2053" width="7.5703125" style="9" customWidth="1"/>
    <col min="2054" max="2054" width="7.140625" style="9" customWidth="1"/>
    <col min="2055" max="2071" width="8.7109375" style="9" customWidth="1"/>
    <col min="2072" max="2072" width="36.85546875" style="9" customWidth="1"/>
    <col min="2073" max="2079" width="14.28515625" style="9" customWidth="1"/>
    <col min="2080" max="2294" width="9.140625" style="9"/>
    <col min="2295" max="2295" width="38.5703125" style="9" customWidth="1"/>
    <col min="2296" max="2296" width="6.5703125" style="9" customWidth="1"/>
    <col min="2297" max="2297" width="7.7109375" style="9" bestFit="1" customWidth="1"/>
    <col min="2298" max="2298" width="7.28515625" style="9" customWidth="1"/>
    <col min="2299" max="2299" width="6.5703125" style="9" bestFit="1" customWidth="1"/>
    <col min="2300" max="2300" width="7.28515625" style="9" bestFit="1" customWidth="1"/>
    <col min="2301" max="2301" width="8.140625" style="9" customWidth="1"/>
    <col min="2302" max="2302" width="7.140625" style="9" customWidth="1"/>
    <col min="2303" max="2303" width="7.7109375" style="9" bestFit="1" customWidth="1"/>
    <col min="2304" max="2304" width="7.28515625" style="9" customWidth="1"/>
    <col min="2305" max="2305" width="7" style="9" customWidth="1"/>
    <col min="2306" max="2306" width="7.5703125" style="9" customWidth="1"/>
    <col min="2307" max="2307" width="7.140625" style="9" customWidth="1"/>
    <col min="2308" max="2308" width="7" style="9" customWidth="1"/>
    <col min="2309" max="2309" width="7.5703125" style="9" customWidth="1"/>
    <col min="2310" max="2310" width="7.140625" style="9" customWidth="1"/>
    <col min="2311" max="2327" width="8.7109375" style="9" customWidth="1"/>
    <col min="2328" max="2328" width="36.85546875" style="9" customWidth="1"/>
    <col min="2329" max="2335" width="14.28515625" style="9" customWidth="1"/>
    <col min="2336" max="2550" width="9.140625" style="9"/>
    <col min="2551" max="2551" width="38.5703125" style="9" customWidth="1"/>
    <col min="2552" max="2552" width="6.5703125" style="9" customWidth="1"/>
    <col min="2553" max="2553" width="7.7109375" style="9" bestFit="1" customWidth="1"/>
    <col min="2554" max="2554" width="7.28515625" style="9" customWidth="1"/>
    <col min="2555" max="2555" width="6.5703125" style="9" bestFit="1" customWidth="1"/>
    <col min="2556" max="2556" width="7.28515625" style="9" bestFit="1" customWidth="1"/>
    <col min="2557" max="2557" width="8.140625" style="9" customWidth="1"/>
    <col min="2558" max="2558" width="7.140625" style="9" customWidth="1"/>
    <col min="2559" max="2559" width="7.7109375" style="9" bestFit="1" customWidth="1"/>
    <col min="2560" max="2560" width="7.28515625" style="9" customWidth="1"/>
    <col min="2561" max="2561" width="7" style="9" customWidth="1"/>
    <col min="2562" max="2562" width="7.5703125" style="9" customWidth="1"/>
    <col min="2563" max="2563" width="7.140625" style="9" customWidth="1"/>
    <col min="2564" max="2564" width="7" style="9" customWidth="1"/>
    <col min="2565" max="2565" width="7.5703125" style="9" customWidth="1"/>
    <col min="2566" max="2566" width="7.140625" style="9" customWidth="1"/>
    <col min="2567" max="2583" width="8.7109375" style="9" customWidth="1"/>
    <col min="2584" max="2584" width="36.85546875" style="9" customWidth="1"/>
    <col min="2585" max="2591" width="14.28515625" style="9" customWidth="1"/>
    <col min="2592" max="2806" width="9.140625" style="9"/>
    <col min="2807" max="2807" width="38.5703125" style="9" customWidth="1"/>
    <col min="2808" max="2808" width="6.5703125" style="9" customWidth="1"/>
    <col min="2809" max="2809" width="7.7109375" style="9" bestFit="1" customWidth="1"/>
    <col min="2810" max="2810" width="7.28515625" style="9" customWidth="1"/>
    <col min="2811" max="2811" width="6.5703125" style="9" bestFit="1" customWidth="1"/>
    <col min="2812" max="2812" width="7.28515625" style="9" bestFit="1" customWidth="1"/>
    <col min="2813" max="2813" width="8.140625" style="9" customWidth="1"/>
    <col min="2814" max="2814" width="7.140625" style="9" customWidth="1"/>
    <col min="2815" max="2815" width="7.7109375" style="9" bestFit="1" customWidth="1"/>
    <col min="2816" max="2816" width="7.28515625" style="9" customWidth="1"/>
    <col min="2817" max="2817" width="7" style="9" customWidth="1"/>
    <col min="2818" max="2818" width="7.5703125" style="9" customWidth="1"/>
    <col min="2819" max="2819" width="7.140625" style="9" customWidth="1"/>
    <col min="2820" max="2820" width="7" style="9" customWidth="1"/>
    <col min="2821" max="2821" width="7.5703125" style="9" customWidth="1"/>
    <col min="2822" max="2822" width="7.140625" style="9" customWidth="1"/>
    <col min="2823" max="2839" width="8.7109375" style="9" customWidth="1"/>
    <col min="2840" max="2840" width="36.85546875" style="9" customWidth="1"/>
    <col min="2841" max="2847" width="14.28515625" style="9" customWidth="1"/>
    <col min="2848" max="3062" width="9.140625" style="9"/>
    <col min="3063" max="3063" width="38.5703125" style="9" customWidth="1"/>
    <col min="3064" max="3064" width="6.5703125" style="9" customWidth="1"/>
    <col min="3065" max="3065" width="7.7109375" style="9" bestFit="1" customWidth="1"/>
    <col min="3066" max="3066" width="7.28515625" style="9" customWidth="1"/>
    <col min="3067" max="3067" width="6.5703125" style="9" bestFit="1" customWidth="1"/>
    <col min="3068" max="3068" width="7.28515625" style="9" bestFit="1" customWidth="1"/>
    <col min="3069" max="3069" width="8.140625" style="9" customWidth="1"/>
    <col min="3070" max="3070" width="7.140625" style="9" customWidth="1"/>
    <col min="3071" max="3071" width="7.7109375" style="9" bestFit="1" customWidth="1"/>
    <col min="3072" max="3072" width="7.28515625" style="9" customWidth="1"/>
    <col min="3073" max="3073" width="7" style="9" customWidth="1"/>
    <col min="3074" max="3074" width="7.5703125" style="9" customWidth="1"/>
    <col min="3075" max="3075" width="7.140625" style="9" customWidth="1"/>
    <col min="3076" max="3076" width="7" style="9" customWidth="1"/>
    <col min="3077" max="3077" width="7.5703125" style="9" customWidth="1"/>
    <col min="3078" max="3078" width="7.140625" style="9" customWidth="1"/>
    <col min="3079" max="3095" width="8.7109375" style="9" customWidth="1"/>
    <col min="3096" max="3096" width="36.85546875" style="9" customWidth="1"/>
    <col min="3097" max="3103" width="14.28515625" style="9" customWidth="1"/>
    <col min="3104" max="3318" width="9.140625" style="9"/>
    <col min="3319" max="3319" width="38.5703125" style="9" customWidth="1"/>
    <col min="3320" max="3320" width="6.5703125" style="9" customWidth="1"/>
    <col min="3321" max="3321" width="7.7109375" style="9" bestFit="1" customWidth="1"/>
    <col min="3322" max="3322" width="7.28515625" style="9" customWidth="1"/>
    <col min="3323" max="3323" width="6.5703125" style="9" bestFit="1" customWidth="1"/>
    <col min="3324" max="3324" width="7.28515625" style="9" bestFit="1" customWidth="1"/>
    <col min="3325" max="3325" width="8.140625" style="9" customWidth="1"/>
    <col min="3326" max="3326" width="7.140625" style="9" customWidth="1"/>
    <col min="3327" max="3327" width="7.7109375" style="9" bestFit="1" customWidth="1"/>
    <col min="3328" max="3328" width="7.28515625" style="9" customWidth="1"/>
    <col min="3329" max="3329" width="7" style="9" customWidth="1"/>
    <col min="3330" max="3330" width="7.5703125" style="9" customWidth="1"/>
    <col min="3331" max="3331" width="7.140625" style="9" customWidth="1"/>
    <col min="3332" max="3332" width="7" style="9" customWidth="1"/>
    <col min="3333" max="3333" width="7.5703125" style="9" customWidth="1"/>
    <col min="3334" max="3334" width="7.140625" style="9" customWidth="1"/>
    <col min="3335" max="3351" width="8.7109375" style="9" customWidth="1"/>
    <col min="3352" max="3352" width="36.85546875" style="9" customWidth="1"/>
    <col min="3353" max="3359" width="14.28515625" style="9" customWidth="1"/>
    <col min="3360" max="3574" width="9.140625" style="9"/>
    <col min="3575" max="3575" width="38.5703125" style="9" customWidth="1"/>
    <col min="3576" max="3576" width="6.5703125" style="9" customWidth="1"/>
    <col min="3577" max="3577" width="7.7109375" style="9" bestFit="1" customWidth="1"/>
    <col min="3578" max="3578" width="7.28515625" style="9" customWidth="1"/>
    <col min="3579" max="3579" width="6.5703125" style="9" bestFit="1" customWidth="1"/>
    <col min="3580" max="3580" width="7.28515625" style="9" bestFit="1" customWidth="1"/>
    <col min="3581" max="3581" width="8.140625" style="9" customWidth="1"/>
    <col min="3582" max="3582" width="7.140625" style="9" customWidth="1"/>
    <col min="3583" max="3583" width="7.7109375" style="9" bestFit="1" customWidth="1"/>
    <col min="3584" max="3584" width="7.28515625" style="9" customWidth="1"/>
    <col min="3585" max="3585" width="7" style="9" customWidth="1"/>
    <col min="3586" max="3586" width="7.5703125" style="9" customWidth="1"/>
    <col min="3587" max="3587" width="7.140625" style="9" customWidth="1"/>
    <col min="3588" max="3588" width="7" style="9" customWidth="1"/>
    <col min="3589" max="3589" width="7.5703125" style="9" customWidth="1"/>
    <col min="3590" max="3590" width="7.140625" style="9" customWidth="1"/>
    <col min="3591" max="3607" width="8.7109375" style="9" customWidth="1"/>
    <col min="3608" max="3608" width="36.85546875" style="9" customWidth="1"/>
    <col min="3609" max="3615" width="14.28515625" style="9" customWidth="1"/>
    <col min="3616" max="3830" width="9.140625" style="9"/>
    <col min="3831" max="3831" width="38.5703125" style="9" customWidth="1"/>
    <col min="3832" max="3832" width="6.5703125" style="9" customWidth="1"/>
    <col min="3833" max="3833" width="7.7109375" style="9" bestFit="1" customWidth="1"/>
    <col min="3834" max="3834" width="7.28515625" style="9" customWidth="1"/>
    <col min="3835" max="3835" width="6.5703125" style="9" bestFit="1" customWidth="1"/>
    <col min="3836" max="3836" width="7.28515625" style="9" bestFit="1" customWidth="1"/>
    <col min="3837" max="3837" width="8.140625" style="9" customWidth="1"/>
    <col min="3838" max="3838" width="7.140625" style="9" customWidth="1"/>
    <col min="3839" max="3839" width="7.7109375" style="9" bestFit="1" customWidth="1"/>
    <col min="3840" max="3840" width="7.28515625" style="9" customWidth="1"/>
    <col min="3841" max="3841" width="7" style="9" customWidth="1"/>
    <col min="3842" max="3842" width="7.5703125" style="9" customWidth="1"/>
    <col min="3843" max="3843" width="7.140625" style="9" customWidth="1"/>
    <col min="3844" max="3844" width="7" style="9" customWidth="1"/>
    <col min="3845" max="3845" width="7.5703125" style="9" customWidth="1"/>
    <col min="3846" max="3846" width="7.140625" style="9" customWidth="1"/>
    <col min="3847" max="3863" width="8.7109375" style="9" customWidth="1"/>
    <col min="3864" max="3864" width="36.85546875" style="9" customWidth="1"/>
    <col min="3865" max="3871" width="14.28515625" style="9" customWidth="1"/>
    <col min="3872" max="4086" width="9.140625" style="9"/>
    <col min="4087" max="4087" width="38.5703125" style="9" customWidth="1"/>
    <col min="4088" max="4088" width="6.5703125" style="9" customWidth="1"/>
    <col min="4089" max="4089" width="7.7109375" style="9" bestFit="1" customWidth="1"/>
    <col min="4090" max="4090" width="7.28515625" style="9" customWidth="1"/>
    <col min="4091" max="4091" width="6.5703125" style="9" bestFit="1" customWidth="1"/>
    <col min="4092" max="4092" width="7.28515625" style="9" bestFit="1" customWidth="1"/>
    <col min="4093" max="4093" width="8.140625" style="9" customWidth="1"/>
    <col min="4094" max="4094" width="7.140625" style="9" customWidth="1"/>
    <col min="4095" max="4095" width="7.7109375" style="9" bestFit="1" customWidth="1"/>
    <col min="4096" max="4096" width="7.28515625" style="9" customWidth="1"/>
    <col min="4097" max="4097" width="7" style="9" customWidth="1"/>
    <col min="4098" max="4098" width="7.5703125" style="9" customWidth="1"/>
    <col min="4099" max="4099" width="7.140625" style="9" customWidth="1"/>
    <col min="4100" max="4100" width="7" style="9" customWidth="1"/>
    <col min="4101" max="4101" width="7.5703125" style="9" customWidth="1"/>
    <col min="4102" max="4102" width="7.140625" style="9" customWidth="1"/>
    <col min="4103" max="4119" width="8.7109375" style="9" customWidth="1"/>
    <col min="4120" max="4120" width="36.85546875" style="9" customWidth="1"/>
    <col min="4121" max="4127" width="14.28515625" style="9" customWidth="1"/>
    <col min="4128" max="4342" width="9.140625" style="9"/>
    <col min="4343" max="4343" width="38.5703125" style="9" customWidth="1"/>
    <col min="4344" max="4344" width="6.5703125" style="9" customWidth="1"/>
    <col min="4345" max="4345" width="7.7109375" style="9" bestFit="1" customWidth="1"/>
    <col min="4346" max="4346" width="7.28515625" style="9" customWidth="1"/>
    <col min="4347" max="4347" width="6.5703125" style="9" bestFit="1" customWidth="1"/>
    <col min="4348" max="4348" width="7.28515625" style="9" bestFit="1" customWidth="1"/>
    <col min="4349" max="4349" width="8.140625" style="9" customWidth="1"/>
    <col min="4350" max="4350" width="7.140625" style="9" customWidth="1"/>
    <col min="4351" max="4351" width="7.7109375" style="9" bestFit="1" customWidth="1"/>
    <col min="4352" max="4352" width="7.28515625" style="9" customWidth="1"/>
    <col min="4353" max="4353" width="7" style="9" customWidth="1"/>
    <col min="4354" max="4354" width="7.5703125" style="9" customWidth="1"/>
    <col min="4355" max="4355" width="7.140625" style="9" customWidth="1"/>
    <col min="4356" max="4356" width="7" style="9" customWidth="1"/>
    <col min="4357" max="4357" width="7.5703125" style="9" customWidth="1"/>
    <col min="4358" max="4358" width="7.140625" style="9" customWidth="1"/>
    <col min="4359" max="4375" width="8.7109375" style="9" customWidth="1"/>
    <col min="4376" max="4376" width="36.85546875" style="9" customWidth="1"/>
    <col min="4377" max="4383" width="14.28515625" style="9" customWidth="1"/>
    <col min="4384" max="4598" width="9.140625" style="9"/>
    <col min="4599" max="4599" width="38.5703125" style="9" customWidth="1"/>
    <col min="4600" max="4600" width="6.5703125" style="9" customWidth="1"/>
    <col min="4601" max="4601" width="7.7109375" style="9" bestFit="1" customWidth="1"/>
    <col min="4602" max="4602" width="7.28515625" style="9" customWidth="1"/>
    <col min="4603" max="4603" width="6.5703125" style="9" bestFit="1" customWidth="1"/>
    <col min="4604" max="4604" width="7.28515625" style="9" bestFit="1" customWidth="1"/>
    <col min="4605" max="4605" width="8.140625" style="9" customWidth="1"/>
    <col min="4606" max="4606" width="7.140625" style="9" customWidth="1"/>
    <col min="4607" max="4607" width="7.7109375" style="9" bestFit="1" customWidth="1"/>
    <col min="4608" max="4608" width="7.28515625" style="9" customWidth="1"/>
    <col min="4609" max="4609" width="7" style="9" customWidth="1"/>
    <col min="4610" max="4610" width="7.5703125" style="9" customWidth="1"/>
    <col min="4611" max="4611" width="7.140625" style="9" customWidth="1"/>
    <col min="4612" max="4612" width="7" style="9" customWidth="1"/>
    <col min="4613" max="4613" width="7.5703125" style="9" customWidth="1"/>
    <col min="4614" max="4614" width="7.140625" style="9" customWidth="1"/>
    <col min="4615" max="4631" width="8.7109375" style="9" customWidth="1"/>
    <col min="4632" max="4632" width="36.85546875" style="9" customWidth="1"/>
    <col min="4633" max="4639" width="14.28515625" style="9" customWidth="1"/>
    <col min="4640" max="4854" width="9.140625" style="9"/>
    <col min="4855" max="4855" width="38.5703125" style="9" customWidth="1"/>
    <col min="4856" max="4856" width="6.5703125" style="9" customWidth="1"/>
    <col min="4857" max="4857" width="7.7109375" style="9" bestFit="1" customWidth="1"/>
    <col min="4858" max="4858" width="7.28515625" style="9" customWidth="1"/>
    <col min="4859" max="4859" width="6.5703125" style="9" bestFit="1" customWidth="1"/>
    <col min="4860" max="4860" width="7.28515625" style="9" bestFit="1" customWidth="1"/>
    <col min="4861" max="4861" width="8.140625" style="9" customWidth="1"/>
    <col min="4862" max="4862" width="7.140625" style="9" customWidth="1"/>
    <col min="4863" max="4863" width="7.7109375" style="9" bestFit="1" customWidth="1"/>
    <col min="4864" max="4864" width="7.28515625" style="9" customWidth="1"/>
    <col min="4865" max="4865" width="7" style="9" customWidth="1"/>
    <col min="4866" max="4866" width="7.5703125" style="9" customWidth="1"/>
    <col min="4867" max="4867" width="7.140625" style="9" customWidth="1"/>
    <col min="4868" max="4868" width="7" style="9" customWidth="1"/>
    <col min="4869" max="4869" width="7.5703125" style="9" customWidth="1"/>
    <col min="4870" max="4870" width="7.140625" style="9" customWidth="1"/>
    <col min="4871" max="4887" width="8.7109375" style="9" customWidth="1"/>
    <col min="4888" max="4888" width="36.85546875" style="9" customWidth="1"/>
    <col min="4889" max="4895" width="14.28515625" style="9" customWidth="1"/>
    <col min="4896" max="5110" width="9.140625" style="9"/>
    <col min="5111" max="5111" width="38.5703125" style="9" customWidth="1"/>
    <col min="5112" max="5112" width="6.5703125" style="9" customWidth="1"/>
    <col min="5113" max="5113" width="7.7109375" style="9" bestFit="1" customWidth="1"/>
    <col min="5114" max="5114" width="7.28515625" style="9" customWidth="1"/>
    <col min="5115" max="5115" width="6.5703125" style="9" bestFit="1" customWidth="1"/>
    <col min="5116" max="5116" width="7.28515625" style="9" bestFit="1" customWidth="1"/>
    <col min="5117" max="5117" width="8.140625" style="9" customWidth="1"/>
    <col min="5118" max="5118" width="7.140625" style="9" customWidth="1"/>
    <col min="5119" max="5119" width="7.7109375" style="9" bestFit="1" customWidth="1"/>
    <col min="5120" max="5120" width="7.28515625" style="9" customWidth="1"/>
    <col min="5121" max="5121" width="7" style="9" customWidth="1"/>
    <col min="5122" max="5122" width="7.5703125" style="9" customWidth="1"/>
    <col min="5123" max="5123" width="7.140625" style="9" customWidth="1"/>
    <col min="5124" max="5124" width="7" style="9" customWidth="1"/>
    <col min="5125" max="5125" width="7.5703125" style="9" customWidth="1"/>
    <col min="5126" max="5126" width="7.140625" style="9" customWidth="1"/>
    <col min="5127" max="5143" width="8.7109375" style="9" customWidth="1"/>
    <col min="5144" max="5144" width="36.85546875" style="9" customWidth="1"/>
    <col min="5145" max="5151" width="14.28515625" style="9" customWidth="1"/>
    <col min="5152" max="5366" width="9.140625" style="9"/>
    <col min="5367" max="5367" width="38.5703125" style="9" customWidth="1"/>
    <col min="5368" max="5368" width="6.5703125" style="9" customWidth="1"/>
    <col min="5369" max="5369" width="7.7109375" style="9" bestFit="1" customWidth="1"/>
    <col min="5370" max="5370" width="7.28515625" style="9" customWidth="1"/>
    <col min="5371" max="5371" width="6.5703125" style="9" bestFit="1" customWidth="1"/>
    <col min="5372" max="5372" width="7.28515625" style="9" bestFit="1" customWidth="1"/>
    <col min="5373" max="5373" width="8.140625" style="9" customWidth="1"/>
    <col min="5374" max="5374" width="7.140625" style="9" customWidth="1"/>
    <col min="5375" max="5375" width="7.7109375" style="9" bestFit="1" customWidth="1"/>
    <col min="5376" max="5376" width="7.28515625" style="9" customWidth="1"/>
    <col min="5377" max="5377" width="7" style="9" customWidth="1"/>
    <col min="5378" max="5378" width="7.5703125" style="9" customWidth="1"/>
    <col min="5379" max="5379" width="7.140625" style="9" customWidth="1"/>
    <col min="5380" max="5380" width="7" style="9" customWidth="1"/>
    <col min="5381" max="5381" width="7.5703125" style="9" customWidth="1"/>
    <col min="5382" max="5382" width="7.140625" style="9" customWidth="1"/>
    <col min="5383" max="5399" width="8.7109375" style="9" customWidth="1"/>
    <col min="5400" max="5400" width="36.85546875" style="9" customWidth="1"/>
    <col min="5401" max="5407" width="14.28515625" style="9" customWidth="1"/>
    <col min="5408" max="5622" width="9.140625" style="9"/>
    <col min="5623" max="5623" width="38.5703125" style="9" customWidth="1"/>
    <col min="5624" max="5624" width="6.5703125" style="9" customWidth="1"/>
    <col min="5625" max="5625" width="7.7109375" style="9" bestFit="1" customWidth="1"/>
    <col min="5626" max="5626" width="7.28515625" style="9" customWidth="1"/>
    <col min="5627" max="5627" width="6.5703125" style="9" bestFit="1" customWidth="1"/>
    <col min="5628" max="5628" width="7.28515625" style="9" bestFit="1" customWidth="1"/>
    <col min="5629" max="5629" width="8.140625" style="9" customWidth="1"/>
    <col min="5630" max="5630" width="7.140625" style="9" customWidth="1"/>
    <col min="5631" max="5631" width="7.7109375" style="9" bestFit="1" customWidth="1"/>
    <col min="5632" max="5632" width="7.28515625" style="9" customWidth="1"/>
    <col min="5633" max="5633" width="7" style="9" customWidth="1"/>
    <col min="5634" max="5634" width="7.5703125" style="9" customWidth="1"/>
    <col min="5635" max="5635" width="7.140625" style="9" customWidth="1"/>
    <col min="5636" max="5636" width="7" style="9" customWidth="1"/>
    <col min="5637" max="5637" width="7.5703125" style="9" customWidth="1"/>
    <col min="5638" max="5638" width="7.140625" style="9" customWidth="1"/>
    <col min="5639" max="5655" width="8.7109375" style="9" customWidth="1"/>
    <col min="5656" max="5656" width="36.85546875" style="9" customWidth="1"/>
    <col min="5657" max="5663" width="14.28515625" style="9" customWidth="1"/>
    <col min="5664" max="5878" width="9.140625" style="9"/>
    <col min="5879" max="5879" width="38.5703125" style="9" customWidth="1"/>
    <col min="5880" max="5880" width="6.5703125" style="9" customWidth="1"/>
    <col min="5881" max="5881" width="7.7109375" style="9" bestFit="1" customWidth="1"/>
    <col min="5882" max="5882" width="7.28515625" style="9" customWidth="1"/>
    <col min="5883" max="5883" width="6.5703125" style="9" bestFit="1" customWidth="1"/>
    <col min="5884" max="5884" width="7.28515625" style="9" bestFit="1" customWidth="1"/>
    <col min="5885" max="5885" width="8.140625" style="9" customWidth="1"/>
    <col min="5886" max="5886" width="7.140625" style="9" customWidth="1"/>
    <col min="5887" max="5887" width="7.7109375" style="9" bestFit="1" customWidth="1"/>
    <col min="5888" max="5888" width="7.28515625" style="9" customWidth="1"/>
    <col min="5889" max="5889" width="7" style="9" customWidth="1"/>
    <col min="5890" max="5890" width="7.5703125" style="9" customWidth="1"/>
    <col min="5891" max="5891" width="7.140625" style="9" customWidth="1"/>
    <col min="5892" max="5892" width="7" style="9" customWidth="1"/>
    <col min="5893" max="5893" width="7.5703125" style="9" customWidth="1"/>
    <col min="5894" max="5894" width="7.140625" style="9" customWidth="1"/>
    <col min="5895" max="5911" width="8.7109375" style="9" customWidth="1"/>
    <col min="5912" max="5912" width="36.85546875" style="9" customWidth="1"/>
    <col min="5913" max="5919" width="14.28515625" style="9" customWidth="1"/>
    <col min="5920" max="6134" width="9.140625" style="9"/>
    <col min="6135" max="6135" width="38.5703125" style="9" customWidth="1"/>
    <col min="6136" max="6136" width="6.5703125" style="9" customWidth="1"/>
    <col min="6137" max="6137" width="7.7109375" style="9" bestFit="1" customWidth="1"/>
    <col min="6138" max="6138" width="7.28515625" style="9" customWidth="1"/>
    <col min="6139" max="6139" width="6.5703125" style="9" bestFit="1" customWidth="1"/>
    <col min="6140" max="6140" width="7.28515625" style="9" bestFit="1" customWidth="1"/>
    <col min="6141" max="6141" width="8.140625" style="9" customWidth="1"/>
    <col min="6142" max="6142" width="7.140625" style="9" customWidth="1"/>
    <col min="6143" max="6143" width="7.7109375" style="9" bestFit="1" customWidth="1"/>
    <col min="6144" max="6144" width="7.28515625" style="9" customWidth="1"/>
    <col min="6145" max="6145" width="7" style="9" customWidth="1"/>
    <col min="6146" max="6146" width="7.5703125" style="9" customWidth="1"/>
    <col min="6147" max="6147" width="7.140625" style="9" customWidth="1"/>
    <col min="6148" max="6148" width="7" style="9" customWidth="1"/>
    <col min="6149" max="6149" width="7.5703125" style="9" customWidth="1"/>
    <col min="6150" max="6150" width="7.140625" style="9" customWidth="1"/>
    <col min="6151" max="6167" width="8.7109375" style="9" customWidth="1"/>
    <col min="6168" max="6168" width="36.85546875" style="9" customWidth="1"/>
    <col min="6169" max="6175" width="14.28515625" style="9" customWidth="1"/>
    <col min="6176" max="6390" width="9.140625" style="9"/>
    <col min="6391" max="6391" width="38.5703125" style="9" customWidth="1"/>
    <col min="6392" max="6392" width="6.5703125" style="9" customWidth="1"/>
    <col min="6393" max="6393" width="7.7109375" style="9" bestFit="1" customWidth="1"/>
    <col min="6394" max="6394" width="7.28515625" style="9" customWidth="1"/>
    <col min="6395" max="6395" width="6.5703125" style="9" bestFit="1" customWidth="1"/>
    <col min="6396" max="6396" width="7.28515625" style="9" bestFit="1" customWidth="1"/>
    <col min="6397" max="6397" width="8.140625" style="9" customWidth="1"/>
    <col min="6398" max="6398" width="7.140625" style="9" customWidth="1"/>
    <col min="6399" max="6399" width="7.7109375" style="9" bestFit="1" customWidth="1"/>
    <col min="6400" max="6400" width="7.28515625" style="9" customWidth="1"/>
    <col min="6401" max="6401" width="7" style="9" customWidth="1"/>
    <col min="6402" max="6402" width="7.5703125" style="9" customWidth="1"/>
    <col min="6403" max="6403" width="7.140625" style="9" customWidth="1"/>
    <col min="6404" max="6404" width="7" style="9" customWidth="1"/>
    <col min="6405" max="6405" width="7.5703125" style="9" customWidth="1"/>
    <col min="6406" max="6406" width="7.140625" style="9" customWidth="1"/>
    <col min="6407" max="6423" width="8.7109375" style="9" customWidth="1"/>
    <col min="6424" max="6424" width="36.85546875" style="9" customWidth="1"/>
    <col min="6425" max="6431" width="14.28515625" style="9" customWidth="1"/>
    <col min="6432" max="6646" width="9.140625" style="9"/>
    <col min="6647" max="6647" width="38.5703125" style="9" customWidth="1"/>
    <col min="6648" max="6648" width="6.5703125" style="9" customWidth="1"/>
    <col min="6649" max="6649" width="7.7109375" style="9" bestFit="1" customWidth="1"/>
    <col min="6650" max="6650" width="7.28515625" style="9" customWidth="1"/>
    <col min="6651" max="6651" width="6.5703125" style="9" bestFit="1" customWidth="1"/>
    <col min="6652" max="6652" width="7.28515625" style="9" bestFit="1" customWidth="1"/>
    <col min="6653" max="6653" width="8.140625" style="9" customWidth="1"/>
    <col min="6654" max="6654" width="7.140625" style="9" customWidth="1"/>
    <col min="6655" max="6655" width="7.7109375" style="9" bestFit="1" customWidth="1"/>
    <col min="6656" max="6656" width="7.28515625" style="9" customWidth="1"/>
    <col min="6657" max="6657" width="7" style="9" customWidth="1"/>
    <col min="6658" max="6658" width="7.5703125" style="9" customWidth="1"/>
    <col min="6659" max="6659" width="7.140625" style="9" customWidth="1"/>
    <col min="6660" max="6660" width="7" style="9" customWidth="1"/>
    <col min="6661" max="6661" width="7.5703125" style="9" customWidth="1"/>
    <col min="6662" max="6662" width="7.140625" style="9" customWidth="1"/>
    <col min="6663" max="6679" width="8.7109375" style="9" customWidth="1"/>
    <col min="6680" max="6680" width="36.85546875" style="9" customWidth="1"/>
    <col min="6681" max="6687" width="14.28515625" style="9" customWidth="1"/>
    <col min="6688" max="6902" width="9.140625" style="9"/>
    <col min="6903" max="6903" width="38.5703125" style="9" customWidth="1"/>
    <col min="6904" max="6904" width="6.5703125" style="9" customWidth="1"/>
    <col min="6905" max="6905" width="7.7109375" style="9" bestFit="1" customWidth="1"/>
    <col min="6906" max="6906" width="7.28515625" style="9" customWidth="1"/>
    <col min="6907" max="6907" width="6.5703125" style="9" bestFit="1" customWidth="1"/>
    <col min="6908" max="6908" width="7.28515625" style="9" bestFit="1" customWidth="1"/>
    <col min="6909" max="6909" width="8.140625" style="9" customWidth="1"/>
    <col min="6910" max="6910" width="7.140625" style="9" customWidth="1"/>
    <col min="6911" max="6911" width="7.7109375" style="9" bestFit="1" customWidth="1"/>
    <col min="6912" max="6912" width="7.28515625" style="9" customWidth="1"/>
    <col min="6913" max="6913" width="7" style="9" customWidth="1"/>
    <col min="6914" max="6914" width="7.5703125" style="9" customWidth="1"/>
    <col min="6915" max="6915" width="7.140625" style="9" customWidth="1"/>
    <col min="6916" max="6916" width="7" style="9" customWidth="1"/>
    <col min="6917" max="6917" width="7.5703125" style="9" customWidth="1"/>
    <col min="6918" max="6918" width="7.140625" style="9" customWidth="1"/>
    <col min="6919" max="6935" width="8.7109375" style="9" customWidth="1"/>
    <col min="6936" max="6936" width="36.85546875" style="9" customWidth="1"/>
    <col min="6937" max="6943" width="14.28515625" style="9" customWidth="1"/>
    <col min="6944" max="7158" width="9.140625" style="9"/>
    <col min="7159" max="7159" width="38.5703125" style="9" customWidth="1"/>
    <col min="7160" max="7160" width="6.5703125" style="9" customWidth="1"/>
    <col min="7161" max="7161" width="7.7109375" style="9" bestFit="1" customWidth="1"/>
    <col min="7162" max="7162" width="7.28515625" style="9" customWidth="1"/>
    <col min="7163" max="7163" width="6.5703125" style="9" bestFit="1" customWidth="1"/>
    <col min="7164" max="7164" width="7.28515625" style="9" bestFit="1" customWidth="1"/>
    <col min="7165" max="7165" width="8.140625" style="9" customWidth="1"/>
    <col min="7166" max="7166" width="7.140625" style="9" customWidth="1"/>
    <col min="7167" max="7167" width="7.7109375" style="9" bestFit="1" customWidth="1"/>
    <col min="7168" max="7168" width="7.28515625" style="9" customWidth="1"/>
    <col min="7169" max="7169" width="7" style="9" customWidth="1"/>
    <col min="7170" max="7170" width="7.5703125" style="9" customWidth="1"/>
    <col min="7171" max="7171" width="7.140625" style="9" customWidth="1"/>
    <col min="7172" max="7172" width="7" style="9" customWidth="1"/>
    <col min="7173" max="7173" width="7.5703125" style="9" customWidth="1"/>
    <col min="7174" max="7174" width="7.140625" style="9" customWidth="1"/>
    <col min="7175" max="7191" width="8.7109375" style="9" customWidth="1"/>
    <col min="7192" max="7192" width="36.85546875" style="9" customWidth="1"/>
    <col min="7193" max="7199" width="14.28515625" style="9" customWidth="1"/>
    <col min="7200" max="7414" width="9.140625" style="9"/>
    <col min="7415" max="7415" width="38.5703125" style="9" customWidth="1"/>
    <col min="7416" max="7416" width="6.5703125" style="9" customWidth="1"/>
    <col min="7417" max="7417" width="7.7109375" style="9" bestFit="1" customWidth="1"/>
    <col min="7418" max="7418" width="7.28515625" style="9" customWidth="1"/>
    <col min="7419" max="7419" width="6.5703125" style="9" bestFit="1" customWidth="1"/>
    <col min="7420" max="7420" width="7.28515625" style="9" bestFit="1" customWidth="1"/>
    <col min="7421" max="7421" width="8.140625" style="9" customWidth="1"/>
    <col min="7422" max="7422" width="7.140625" style="9" customWidth="1"/>
    <col min="7423" max="7423" width="7.7109375" style="9" bestFit="1" customWidth="1"/>
    <col min="7424" max="7424" width="7.28515625" style="9" customWidth="1"/>
    <col min="7425" max="7425" width="7" style="9" customWidth="1"/>
    <col min="7426" max="7426" width="7.5703125" style="9" customWidth="1"/>
    <col min="7427" max="7427" width="7.140625" style="9" customWidth="1"/>
    <col min="7428" max="7428" width="7" style="9" customWidth="1"/>
    <col min="7429" max="7429" width="7.5703125" style="9" customWidth="1"/>
    <col min="7430" max="7430" width="7.140625" style="9" customWidth="1"/>
    <col min="7431" max="7447" width="8.7109375" style="9" customWidth="1"/>
    <col min="7448" max="7448" width="36.85546875" style="9" customWidth="1"/>
    <col min="7449" max="7455" width="14.28515625" style="9" customWidth="1"/>
    <col min="7456" max="7670" width="9.140625" style="9"/>
    <col min="7671" max="7671" width="38.5703125" style="9" customWidth="1"/>
    <col min="7672" max="7672" width="6.5703125" style="9" customWidth="1"/>
    <col min="7673" max="7673" width="7.7109375" style="9" bestFit="1" customWidth="1"/>
    <col min="7674" max="7674" width="7.28515625" style="9" customWidth="1"/>
    <col min="7675" max="7675" width="6.5703125" style="9" bestFit="1" customWidth="1"/>
    <col min="7676" max="7676" width="7.28515625" style="9" bestFit="1" customWidth="1"/>
    <col min="7677" max="7677" width="8.140625" style="9" customWidth="1"/>
    <col min="7678" max="7678" width="7.140625" style="9" customWidth="1"/>
    <col min="7679" max="7679" width="7.7109375" style="9" bestFit="1" customWidth="1"/>
    <col min="7680" max="7680" width="7.28515625" style="9" customWidth="1"/>
    <col min="7681" max="7681" width="7" style="9" customWidth="1"/>
    <col min="7682" max="7682" width="7.5703125" style="9" customWidth="1"/>
    <col min="7683" max="7683" width="7.140625" style="9" customWidth="1"/>
    <col min="7684" max="7684" width="7" style="9" customWidth="1"/>
    <col min="7685" max="7685" width="7.5703125" style="9" customWidth="1"/>
    <col min="7686" max="7686" width="7.140625" style="9" customWidth="1"/>
    <col min="7687" max="7703" width="8.7109375" style="9" customWidth="1"/>
    <col min="7704" max="7704" width="36.85546875" style="9" customWidth="1"/>
    <col min="7705" max="7711" width="14.28515625" style="9" customWidth="1"/>
    <col min="7712" max="7926" width="9.140625" style="9"/>
    <col min="7927" max="7927" width="38.5703125" style="9" customWidth="1"/>
    <col min="7928" max="7928" width="6.5703125" style="9" customWidth="1"/>
    <col min="7929" max="7929" width="7.7109375" style="9" bestFit="1" customWidth="1"/>
    <col min="7930" max="7930" width="7.28515625" style="9" customWidth="1"/>
    <col min="7931" max="7931" width="6.5703125" style="9" bestFit="1" customWidth="1"/>
    <col min="7932" max="7932" width="7.28515625" style="9" bestFit="1" customWidth="1"/>
    <col min="7933" max="7933" width="8.140625" style="9" customWidth="1"/>
    <col min="7934" max="7934" width="7.140625" style="9" customWidth="1"/>
    <col min="7935" max="7935" width="7.7109375" style="9" bestFit="1" customWidth="1"/>
    <col min="7936" max="7936" width="7.28515625" style="9" customWidth="1"/>
    <col min="7937" max="7937" width="7" style="9" customWidth="1"/>
    <col min="7938" max="7938" width="7.5703125" style="9" customWidth="1"/>
    <col min="7939" max="7939" width="7.140625" style="9" customWidth="1"/>
    <col min="7940" max="7940" width="7" style="9" customWidth="1"/>
    <col min="7941" max="7941" width="7.5703125" style="9" customWidth="1"/>
    <col min="7942" max="7942" width="7.140625" style="9" customWidth="1"/>
    <col min="7943" max="7959" width="8.7109375" style="9" customWidth="1"/>
    <col min="7960" max="7960" width="36.85546875" style="9" customWidth="1"/>
    <col min="7961" max="7967" width="14.28515625" style="9" customWidth="1"/>
    <col min="7968" max="8182" width="9.140625" style="9"/>
    <col min="8183" max="8183" width="38.5703125" style="9" customWidth="1"/>
    <col min="8184" max="8184" width="6.5703125" style="9" customWidth="1"/>
    <col min="8185" max="8185" width="7.7109375" style="9" bestFit="1" customWidth="1"/>
    <col min="8186" max="8186" width="7.28515625" style="9" customWidth="1"/>
    <col min="8187" max="8187" width="6.5703125" style="9" bestFit="1" customWidth="1"/>
    <col min="8188" max="8188" width="7.28515625" style="9" bestFit="1" customWidth="1"/>
    <col min="8189" max="8189" width="8.140625" style="9" customWidth="1"/>
    <col min="8190" max="8190" width="7.140625" style="9" customWidth="1"/>
    <col min="8191" max="8191" width="7.7109375" style="9" bestFit="1" customWidth="1"/>
    <col min="8192" max="8192" width="7.28515625" style="9" customWidth="1"/>
    <col min="8193" max="8193" width="7" style="9" customWidth="1"/>
    <col min="8194" max="8194" width="7.5703125" style="9" customWidth="1"/>
    <col min="8195" max="8195" width="7.140625" style="9" customWidth="1"/>
    <col min="8196" max="8196" width="7" style="9" customWidth="1"/>
    <col min="8197" max="8197" width="7.5703125" style="9" customWidth="1"/>
    <col min="8198" max="8198" width="7.140625" style="9" customWidth="1"/>
    <col min="8199" max="8215" width="8.7109375" style="9" customWidth="1"/>
    <col min="8216" max="8216" width="36.85546875" style="9" customWidth="1"/>
    <col min="8217" max="8223" width="14.28515625" style="9" customWidth="1"/>
    <col min="8224" max="8438" width="9.140625" style="9"/>
    <col min="8439" max="8439" width="38.5703125" style="9" customWidth="1"/>
    <col min="8440" max="8440" width="6.5703125" style="9" customWidth="1"/>
    <col min="8441" max="8441" width="7.7109375" style="9" bestFit="1" customWidth="1"/>
    <col min="8442" max="8442" width="7.28515625" style="9" customWidth="1"/>
    <col min="8443" max="8443" width="6.5703125" style="9" bestFit="1" customWidth="1"/>
    <col min="8444" max="8444" width="7.28515625" style="9" bestFit="1" customWidth="1"/>
    <col min="8445" max="8445" width="8.140625" style="9" customWidth="1"/>
    <col min="8446" max="8446" width="7.140625" style="9" customWidth="1"/>
    <col min="8447" max="8447" width="7.7109375" style="9" bestFit="1" customWidth="1"/>
    <col min="8448" max="8448" width="7.28515625" style="9" customWidth="1"/>
    <col min="8449" max="8449" width="7" style="9" customWidth="1"/>
    <col min="8450" max="8450" width="7.5703125" style="9" customWidth="1"/>
    <col min="8451" max="8451" width="7.140625" style="9" customWidth="1"/>
    <col min="8452" max="8452" width="7" style="9" customWidth="1"/>
    <col min="8453" max="8453" width="7.5703125" style="9" customWidth="1"/>
    <col min="8454" max="8454" width="7.140625" style="9" customWidth="1"/>
    <col min="8455" max="8471" width="8.7109375" style="9" customWidth="1"/>
    <col min="8472" max="8472" width="36.85546875" style="9" customWidth="1"/>
    <col min="8473" max="8479" width="14.28515625" style="9" customWidth="1"/>
    <col min="8480" max="8694" width="9.140625" style="9"/>
    <col min="8695" max="8695" width="38.5703125" style="9" customWidth="1"/>
    <col min="8696" max="8696" width="6.5703125" style="9" customWidth="1"/>
    <col min="8697" max="8697" width="7.7109375" style="9" bestFit="1" customWidth="1"/>
    <col min="8698" max="8698" width="7.28515625" style="9" customWidth="1"/>
    <col min="8699" max="8699" width="6.5703125" style="9" bestFit="1" customWidth="1"/>
    <col min="8700" max="8700" width="7.28515625" style="9" bestFit="1" customWidth="1"/>
    <col min="8701" max="8701" width="8.140625" style="9" customWidth="1"/>
    <col min="8702" max="8702" width="7.140625" style="9" customWidth="1"/>
    <col min="8703" max="8703" width="7.7109375" style="9" bestFit="1" customWidth="1"/>
    <col min="8704" max="8704" width="7.28515625" style="9" customWidth="1"/>
    <col min="8705" max="8705" width="7" style="9" customWidth="1"/>
    <col min="8706" max="8706" width="7.5703125" style="9" customWidth="1"/>
    <col min="8707" max="8707" width="7.140625" style="9" customWidth="1"/>
    <col min="8708" max="8708" width="7" style="9" customWidth="1"/>
    <col min="8709" max="8709" width="7.5703125" style="9" customWidth="1"/>
    <col min="8710" max="8710" width="7.140625" style="9" customWidth="1"/>
    <col min="8711" max="8727" width="8.7109375" style="9" customWidth="1"/>
    <col min="8728" max="8728" width="36.85546875" style="9" customWidth="1"/>
    <col min="8729" max="8735" width="14.28515625" style="9" customWidth="1"/>
    <col min="8736" max="8950" width="9.140625" style="9"/>
    <col min="8951" max="8951" width="38.5703125" style="9" customWidth="1"/>
    <col min="8952" max="8952" width="6.5703125" style="9" customWidth="1"/>
    <col min="8953" max="8953" width="7.7109375" style="9" bestFit="1" customWidth="1"/>
    <col min="8954" max="8954" width="7.28515625" style="9" customWidth="1"/>
    <col min="8955" max="8955" width="6.5703125" style="9" bestFit="1" customWidth="1"/>
    <col min="8956" max="8956" width="7.28515625" style="9" bestFit="1" customWidth="1"/>
    <col min="8957" max="8957" width="8.140625" style="9" customWidth="1"/>
    <col min="8958" max="8958" width="7.140625" style="9" customWidth="1"/>
    <col min="8959" max="8959" width="7.7109375" style="9" bestFit="1" customWidth="1"/>
    <col min="8960" max="8960" width="7.28515625" style="9" customWidth="1"/>
    <col min="8961" max="8961" width="7" style="9" customWidth="1"/>
    <col min="8962" max="8962" width="7.5703125" style="9" customWidth="1"/>
    <col min="8963" max="8963" width="7.140625" style="9" customWidth="1"/>
    <col min="8964" max="8964" width="7" style="9" customWidth="1"/>
    <col min="8965" max="8965" width="7.5703125" style="9" customWidth="1"/>
    <col min="8966" max="8966" width="7.140625" style="9" customWidth="1"/>
    <col min="8967" max="8983" width="8.7109375" style="9" customWidth="1"/>
    <col min="8984" max="8984" width="36.85546875" style="9" customWidth="1"/>
    <col min="8985" max="8991" width="14.28515625" style="9" customWidth="1"/>
    <col min="8992" max="9206" width="9.140625" style="9"/>
    <col min="9207" max="9207" width="38.5703125" style="9" customWidth="1"/>
    <col min="9208" max="9208" width="6.5703125" style="9" customWidth="1"/>
    <col min="9209" max="9209" width="7.7109375" style="9" bestFit="1" customWidth="1"/>
    <col min="9210" max="9210" width="7.28515625" style="9" customWidth="1"/>
    <col min="9211" max="9211" width="6.5703125" style="9" bestFit="1" customWidth="1"/>
    <col min="9212" max="9212" width="7.28515625" style="9" bestFit="1" customWidth="1"/>
    <col min="9213" max="9213" width="8.140625" style="9" customWidth="1"/>
    <col min="9214" max="9214" width="7.140625" style="9" customWidth="1"/>
    <col min="9215" max="9215" width="7.7109375" style="9" bestFit="1" customWidth="1"/>
    <col min="9216" max="9216" width="7.28515625" style="9" customWidth="1"/>
    <col min="9217" max="9217" width="7" style="9" customWidth="1"/>
    <col min="9218" max="9218" width="7.5703125" style="9" customWidth="1"/>
    <col min="9219" max="9219" width="7.140625" style="9" customWidth="1"/>
    <col min="9220" max="9220" width="7" style="9" customWidth="1"/>
    <col min="9221" max="9221" width="7.5703125" style="9" customWidth="1"/>
    <col min="9222" max="9222" width="7.140625" style="9" customWidth="1"/>
    <col min="9223" max="9239" width="8.7109375" style="9" customWidth="1"/>
    <col min="9240" max="9240" width="36.85546875" style="9" customWidth="1"/>
    <col min="9241" max="9247" width="14.28515625" style="9" customWidth="1"/>
    <col min="9248" max="9462" width="9.140625" style="9"/>
    <col min="9463" max="9463" width="38.5703125" style="9" customWidth="1"/>
    <col min="9464" max="9464" width="6.5703125" style="9" customWidth="1"/>
    <col min="9465" max="9465" width="7.7109375" style="9" bestFit="1" customWidth="1"/>
    <col min="9466" max="9466" width="7.28515625" style="9" customWidth="1"/>
    <col min="9467" max="9467" width="6.5703125" style="9" bestFit="1" customWidth="1"/>
    <col min="9468" max="9468" width="7.28515625" style="9" bestFit="1" customWidth="1"/>
    <col min="9469" max="9469" width="8.140625" style="9" customWidth="1"/>
    <col min="9470" max="9470" width="7.140625" style="9" customWidth="1"/>
    <col min="9471" max="9471" width="7.7109375" style="9" bestFit="1" customWidth="1"/>
    <col min="9472" max="9472" width="7.28515625" style="9" customWidth="1"/>
    <col min="9473" max="9473" width="7" style="9" customWidth="1"/>
    <col min="9474" max="9474" width="7.5703125" style="9" customWidth="1"/>
    <col min="9475" max="9475" width="7.140625" style="9" customWidth="1"/>
    <col min="9476" max="9476" width="7" style="9" customWidth="1"/>
    <col min="9477" max="9477" width="7.5703125" style="9" customWidth="1"/>
    <col min="9478" max="9478" width="7.140625" style="9" customWidth="1"/>
    <col min="9479" max="9495" width="8.7109375" style="9" customWidth="1"/>
    <col min="9496" max="9496" width="36.85546875" style="9" customWidth="1"/>
    <col min="9497" max="9503" width="14.28515625" style="9" customWidth="1"/>
    <col min="9504" max="9718" width="9.140625" style="9"/>
    <col min="9719" max="9719" width="38.5703125" style="9" customWidth="1"/>
    <col min="9720" max="9720" width="6.5703125" style="9" customWidth="1"/>
    <col min="9721" max="9721" width="7.7109375" style="9" bestFit="1" customWidth="1"/>
    <col min="9722" max="9722" width="7.28515625" style="9" customWidth="1"/>
    <col min="9723" max="9723" width="6.5703125" style="9" bestFit="1" customWidth="1"/>
    <col min="9724" max="9724" width="7.28515625" style="9" bestFit="1" customWidth="1"/>
    <col min="9725" max="9725" width="8.140625" style="9" customWidth="1"/>
    <col min="9726" max="9726" width="7.140625" style="9" customWidth="1"/>
    <col min="9727" max="9727" width="7.7109375" style="9" bestFit="1" customWidth="1"/>
    <col min="9728" max="9728" width="7.28515625" style="9" customWidth="1"/>
    <col min="9729" max="9729" width="7" style="9" customWidth="1"/>
    <col min="9730" max="9730" width="7.5703125" style="9" customWidth="1"/>
    <col min="9731" max="9731" width="7.140625" style="9" customWidth="1"/>
    <col min="9732" max="9732" width="7" style="9" customWidth="1"/>
    <col min="9733" max="9733" width="7.5703125" style="9" customWidth="1"/>
    <col min="9734" max="9734" width="7.140625" style="9" customWidth="1"/>
    <col min="9735" max="9751" width="8.7109375" style="9" customWidth="1"/>
    <col min="9752" max="9752" width="36.85546875" style="9" customWidth="1"/>
    <col min="9753" max="9759" width="14.28515625" style="9" customWidth="1"/>
    <col min="9760" max="9974" width="9.140625" style="9"/>
    <col min="9975" max="9975" width="38.5703125" style="9" customWidth="1"/>
    <col min="9976" max="9976" width="6.5703125" style="9" customWidth="1"/>
    <col min="9977" max="9977" width="7.7109375" style="9" bestFit="1" customWidth="1"/>
    <col min="9978" max="9978" width="7.28515625" style="9" customWidth="1"/>
    <col min="9979" max="9979" width="6.5703125" style="9" bestFit="1" customWidth="1"/>
    <col min="9980" max="9980" width="7.28515625" style="9" bestFit="1" customWidth="1"/>
    <col min="9981" max="9981" width="8.140625" style="9" customWidth="1"/>
    <col min="9982" max="9982" width="7.140625" style="9" customWidth="1"/>
    <col min="9983" max="9983" width="7.7109375" style="9" bestFit="1" customWidth="1"/>
    <col min="9984" max="9984" width="7.28515625" style="9" customWidth="1"/>
    <col min="9985" max="9985" width="7" style="9" customWidth="1"/>
    <col min="9986" max="9986" width="7.5703125" style="9" customWidth="1"/>
    <col min="9987" max="9987" width="7.140625" style="9" customWidth="1"/>
    <col min="9988" max="9988" width="7" style="9" customWidth="1"/>
    <col min="9989" max="9989" width="7.5703125" style="9" customWidth="1"/>
    <col min="9990" max="9990" width="7.140625" style="9" customWidth="1"/>
    <col min="9991" max="10007" width="8.7109375" style="9" customWidth="1"/>
    <col min="10008" max="10008" width="36.85546875" style="9" customWidth="1"/>
    <col min="10009" max="10015" width="14.28515625" style="9" customWidth="1"/>
    <col min="10016" max="10230" width="9.140625" style="9"/>
    <col min="10231" max="10231" width="38.5703125" style="9" customWidth="1"/>
    <col min="10232" max="10232" width="6.5703125" style="9" customWidth="1"/>
    <col min="10233" max="10233" width="7.7109375" style="9" bestFit="1" customWidth="1"/>
    <col min="10234" max="10234" width="7.28515625" style="9" customWidth="1"/>
    <col min="10235" max="10235" width="6.5703125" style="9" bestFit="1" customWidth="1"/>
    <col min="10236" max="10236" width="7.28515625" style="9" bestFit="1" customWidth="1"/>
    <col min="10237" max="10237" width="8.140625" style="9" customWidth="1"/>
    <col min="10238" max="10238" width="7.140625" style="9" customWidth="1"/>
    <col min="10239" max="10239" width="7.7109375" style="9" bestFit="1" customWidth="1"/>
    <col min="10240" max="10240" width="7.28515625" style="9" customWidth="1"/>
    <col min="10241" max="10241" width="7" style="9" customWidth="1"/>
    <col min="10242" max="10242" width="7.5703125" style="9" customWidth="1"/>
    <col min="10243" max="10243" width="7.140625" style="9" customWidth="1"/>
    <col min="10244" max="10244" width="7" style="9" customWidth="1"/>
    <col min="10245" max="10245" width="7.5703125" style="9" customWidth="1"/>
    <col min="10246" max="10246" width="7.140625" style="9" customWidth="1"/>
    <col min="10247" max="10263" width="8.7109375" style="9" customWidth="1"/>
    <col min="10264" max="10264" width="36.85546875" style="9" customWidth="1"/>
    <col min="10265" max="10271" width="14.28515625" style="9" customWidth="1"/>
    <col min="10272" max="10486" width="9.140625" style="9"/>
    <col min="10487" max="10487" width="38.5703125" style="9" customWidth="1"/>
    <col min="10488" max="10488" width="6.5703125" style="9" customWidth="1"/>
    <col min="10489" max="10489" width="7.7109375" style="9" bestFit="1" customWidth="1"/>
    <col min="10490" max="10490" width="7.28515625" style="9" customWidth="1"/>
    <col min="10491" max="10491" width="6.5703125" style="9" bestFit="1" customWidth="1"/>
    <col min="10492" max="10492" width="7.28515625" style="9" bestFit="1" customWidth="1"/>
    <col min="10493" max="10493" width="8.140625" style="9" customWidth="1"/>
    <col min="10494" max="10494" width="7.140625" style="9" customWidth="1"/>
    <col min="10495" max="10495" width="7.7109375" style="9" bestFit="1" customWidth="1"/>
    <col min="10496" max="10496" width="7.28515625" style="9" customWidth="1"/>
    <col min="10497" max="10497" width="7" style="9" customWidth="1"/>
    <col min="10498" max="10498" width="7.5703125" style="9" customWidth="1"/>
    <col min="10499" max="10499" width="7.140625" style="9" customWidth="1"/>
    <col min="10500" max="10500" width="7" style="9" customWidth="1"/>
    <col min="10501" max="10501" width="7.5703125" style="9" customWidth="1"/>
    <col min="10502" max="10502" width="7.140625" style="9" customWidth="1"/>
    <col min="10503" max="10519" width="8.7109375" style="9" customWidth="1"/>
    <col min="10520" max="10520" width="36.85546875" style="9" customWidth="1"/>
    <col min="10521" max="10527" width="14.28515625" style="9" customWidth="1"/>
    <col min="10528" max="10742" width="9.140625" style="9"/>
    <col min="10743" max="10743" width="38.5703125" style="9" customWidth="1"/>
    <col min="10744" max="10744" width="6.5703125" style="9" customWidth="1"/>
    <col min="10745" max="10745" width="7.7109375" style="9" bestFit="1" customWidth="1"/>
    <col min="10746" max="10746" width="7.28515625" style="9" customWidth="1"/>
    <col min="10747" max="10747" width="6.5703125" style="9" bestFit="1" customWidth="1"/>
    <col min="10748" max="10748" width="7.28515625" style="9" bestFit="1" customWidth="1"/>
    <col min="10749" max="10749" width="8.140625" style="9" customWidth="1"/>
    <col min="10750" max="10750" width="7.140625" style="9" customWidth="1"/>
    <col min="10751" max="10751" width="7.7109375" style="9" bestFit="1" customWidth="1"/>
    <col min="10752" max="10752" width="7.28515625" style="9" customWidth="1"/>
    <col min="10753" max="10753" width="7" style="9" customWidth="1"/>
    <col min="10754" max="10754" width="7.5703125" style="9" customWidth="1"/>
    <col min="10755" max="10755" width="7.140625" style="9" customWidth="1"/>
    <col min="10756" max="10756" width="7" style="9" customWidth="1"/>
    <col min="10757" max="10757" width="7.5703125" style="9" customWidth="1"/>
    <col min="10758" max="10758" width="7.140625" style="9" customWidth="1"/>
    <col min="10759" max="10775" width="8.7109375" style="9" customWidth="1"/>
    <col min="10776" max="10776" width="36.85546875" style="9" customWidth="1"/>
    <col min="10777" max="10783" width="14.28515625" style="9" customWidth="1"/>
    <col min="10784" max="10998" width="9.140625" style="9"/>
    <col min="10999" max="10999" width="38.5703125" style="9" customWidth="1"/>
    <col min="11000" max="11000" width="6.5703125" style="9" customWidth="1"/>
    <col min="11001" max="11001" width="7.7109375" style="9" bestFit="1" customWidth="1"/>
    <col min="11002" max="11002" width="7.28515625" style="9" customWidth="1"/>
    <col min="11003" max="11003" width="6.5703125" style="9" bestFit="1" customWidth="1"/>
    <col min="11004" max="11004" width="7.28515625" style="9" bestFit="1" customWidth="1"/>
    <col min="11005" max="11005" width="8.140625" style="9" customWidth="1"/>
    <col min="11006" max="11006" width="7.140625" style="9" customWidth="1"/>
    <col min="11007" max="11007" width="7.7109375" style="9" bestFit="1" customWidth="1"/>
    <col min="11008" max="11008" width="7.28515625" style="9" customWidth="1"/>
    <col min="11009" max="11009" width="7" style="9" customWidth="1"/>
    <col min="11010" max="11010" width="7.5703125" style="9" customWidth="1"/>
    <col min="11011" max="11011" width="7.140625" style="9" customWidth="1"/>
    <col min="11012" max="11012" width="7" style="9" customWidth="1"/>
    <col min="11013" max="11013" width="7.5703125" style="9" customWidth="1"/>
    <col min="11014" max="11014" width="7.140625" style="9" customWidth="1"/>
    <col min="11015" max="11031" width="8.7109375" style="9" customWidth="1"/>
    <col min="11032" max="11032" width="36.85546875" style="9" customWidth="1"/>
    <col min="11033" max="11039" width="14.28515625" style="9" customWidth="1"/>
    <col min="11040" max="11254" width="9.140625" style="9"/>
    <col min="11255" max="11255" width="38.5703125" style="9" customWidth="1"/>
    <col min="11256" max="11256" width="6.5703125" style="9" customWidth="1"/>
    <col min="11257" max="11257" width="7.7109375" style="9" bestFit="1" customWidth="1"/>
    <col min="11258" max="11258" width="7.28515625" style="9" customWidth="1"/>
    <col min="11259" max="11259" width="6.5703125" style="9" bestFit="1" customWidth="1"/>
    <col min="11260" max="11260" width="7.28515625" style="9" bestFit="1" customWidth="1"/>
    <col min="11261" max="11261" width="8.140625" style="9" customWidth="1"/>
    <col min="11262" max="11262" width="7.140625" style="9" customWidth="1"/>
    <col min="11263" max="11263" width="7.7109375" style="9" bestFit="1" customWidth="1"/>
    <col min="11264" max="11264" width="7.28515625" style="9" customWidth="1"/>
    <col min="11265" max="11265" width="7" style="9" customWidth="1"/>
    <col min="11266" max="11266" width="7.5703125" style="9" customWidth="1"/>
    <col min="11267" max="11267" width="7.140625" style="9" customWidth="1"/>
    <col min="11268" max="11268" width="7" style="9" customWidth="1"/>
    <col min="11269" max="11269" width="7.5703125" style="9" customWidth="1"/>
    <col min="11270" max="11270" width="7.140625" style="9" customWidth="1"/>
    <col min="11271" max="11287" width="8.7109375" style="9" customWidth="1"/>
    <col min="11288" max="11288" width="36.85546875" style="9" customWidth="1"/>
    <col min="11289" max="11295" width="14.28515625" style="9" customWidth="1"/>
    <col min="11296" max="11510" width="9.140625" style="9"/>
    <col min="11511" max="11511" width="38.5703125" style="9" customWidth="1"/>
    <col min="11512" max="11512" width="6.5703125" style="9" customWidth="1"/>
    <col min="11513" max="11513" width="7.7109375" style="9" bestFit="1" customWidth="1"/>
    <col min="11514" max="11514" width="7.28515625" style="9" customWidth="1"/>
    <col min="11515" max="11515" width="6.5703125" style="9" bestFit="1" customWidth="1"/>
    <col min="11516" max="11516" width="7.28515625" style="9" bestFit="1" customWidth="1"/>
    <col min="11517" max="11517" width="8.140625" style="9" customWidth="1"/>
    <col min="11518" max="11518" width="7.140625" style="9" customWidth="1"/>
    <col min="11519" max="11519" width="7.7109375" style="9" bestFit="1" customWidth="1"/>
    <col min="11520" max="11520" width="7.28515625" style="9" customWidth="1"/>
    <col min="11521" max="11521" width="7" style="9" customWidth="1"/>
    <col min="11522" max="11522" width="7.5703125" style="9" customWidth="1"/>
    <col min="11523" max="11523" width="7.140625" style="9" customWidth="1"/>
    <col min="11524" max="11524" width="7" style="9" customWidth="1"/>
    <col min="11525" max="11525" width="7.5703125" style="9" customWidth="1"/>
    <col min="11526" max="11526" width="7.140625" style="9" customWidth="1"/>
    <col min="11527" max="11543" width="8.7109375" style="9" customWidth="1"/>
    <col min="11544" max="11544" width="36.85546875" style="9" customWidth="1"/>
    <col min="11545" max="11551" width="14.28515625" style="9" customWidth="1"/>
    <col min="11552" max="11766" width="9.140625" style="9"/>
    <col min="11767" max="11767" width="38.5703125" style="9" customWidth="1"/>
    <col min="11768" max="11768" width="6.5703125" style="9" customWidth="1"/>
    <col min="11769" max="11769" width="7.7109375" style="9" bestFit="1" customWidth="1"/>
    <col min="11770" max="11770" width="7.28515625" style="9" customWidth="1"/>
    <col min="11771" max="11771" width="6.5703125" style="9" bestFit="1" customWidth="1"/>
    <col min="11772" max="11772" width="7.28515625" style="9" bestFit="1" customWidth="1"/>
    <col min="11773" max="11773" width="8.140625" style="9" customWidth="1"/>
    <col min="11774" max="11774" width="7.140625" style="9" customWidth="1"/>
    <col min="11775" max="11775" width="7.7109375" style="9" bestFit="1" customWidth="1"/>
    <col min="11776" max="11776" width="7.28515625" style="9" customWidth="1"/>
    <col min="11777" max="11777" width="7" style="9" customWidth="1"/>
    <col min="11778" max="11778" width="7.5703125" style="9" customWidth="1"/>
    <col min="11779" max="11779" width="7.140625" style="9" customWidth="1"/>
    <col min="11780" max="11780" width="7" style="9" customWidth="1"/>
    <col min="11781" max="11781" width="7.5703125" style="9" customWidth="1"/>
    <col min="11782" max="11782" width="7.140625" style="9" customWidth="1"/>
    <col min="11783" max="11799" width="8.7109375" style="9" customWidth="1"/>
    <col min="11800" max="11800" width="36.85546875" style="9" customWidth="1"/>
    <col min="11801" max="11807" width="14.28515625" style="9" customWidth="1"/>
    <col min="11808" max="12022" width="9.140625" style="9"/>
    <col min="12023" max="12023" width="38.5703125" style="9" customWidth="1"/>
    <col min="12024" max="12024" width="6.5703125" style="9" customWidth="1"/>
    <col min="12025" max="12025" width="7.7109375" style="9" bestFit="1" customWidth="1"/>
    <col min="12026" max="12026" width="7.28515625" style="9" customWidth="1"/>
    <col min="12027" max="12027" width="6.5703125" style="9" bestFit="1" customWidth="1"/>
    <col min="12028" max="12028" width="7.28515625" style="9" bestFit="1" customWidth="1"/>
    <col min="12029" max="12029" width="8.140625" style="9" customWidth="1"/>
    <col min="12030" max="12030" width="7.140625" style="9" customWidth="1"/>
    <col min="12031" max="12031" width="7.7109375" style="9" bestFit="1" customWidth="1"/>
    <col min="12032" max="12032" width="7.28515625" style="9" customWidth="1"/>
    <col min="12033" max="12033" width="7" style="9" customWidth="1"/>
    <col min="12034" max="12034" width="7.5703125" style="9" customWidth="1"/>
    <col min="12035" max="12035" width="7.140625" style="9" customWidth="1"/>
    <col min="12036" max="12036" width="7" style="9" customWidth="1"/>
    <col min="12037" max="12037" width="7.5703125" style="9" customWidth="1"/>
    <col min="12038" max="12038" width="7.140625" style="9" customWidth="1"/>
    <col min="12039" max="12055" width="8.7109375" style="9" customWidth="1"/>
    <col min="12056" max="12056" width="36.85546875" style="9" customWidth="1"/>
    <col min="12057" max="12063" width="14.28515625" style="9" customWidth="1"/>
    <col min="12064" max="12278" width="9.140625" style="9"/>
    <col min="12279" max="12279" width="38.5703125" style="9" customWidth="1"/>
    <col min="12280" max="12280" width="6.5703125" style="9" customWidth="1"/>
    <col min="12281" max="12281" width="7.7109375" style="9" bestFit="1" customWidth="1"/>
    <col min="12282" max="12282" width="7.28515625" style="9" customWidth="1"/>
    <col min="12283" max="12283" width="6.5703125" style="9" bestFit="1" customWidth="1"/>
    <col min="12284" max="12284" width="7.28515625" style="9" bestFit="1" customWidth="1"/>
    <col min="12285" max="12285" width="8.140625" style="9" customWidth="1"/>
    <col min="12286" max="12286" width="7.140625" style="9" customWidth="1"/>
    <col min="12287" max="12287" width="7.7109375" style="9" bestFit="1" customWidth="1"/>
    <col min="12288" max="12288" width="7.28515625" style="9" customWidth="1"/>
    <col min="12289" max="12289" width="7" style="9" customWidth="1"/>
    <col min="12290" max="12290" width="7.5703125" style="9" customWidth="1"/>
    <col min="12291" max="12291" width="7.140625" style="9" customWidth="1"/>
    <col min="12292" max="12292" width="7" style="9" customWidth="1"/>
    <col min="12293" max="12293" width="7.5703125" style="9" customWidth="1"/>
    <col min="12294" max="12294" width="7.140625" style="9" customWidth="1"/>
    <col min="12295" max="12311" width="8.7109375" style="9" customWidth="1"/>
    <col min="12312" max="12312" width="36.85546875" style="9" customWidth="1"/>
    <col min="12313" max="12319" width="14.28515625" style="9" customWidth="1"/>
    <col min="12320" max="12534" width="9.140625" style="9"/>
    <col min="12535" max="12535" width="38.5703125" style="9" customWidth="1"/>
    <col min="12536" max="12536" width="6.5703125" style="9" customWidth="1"/>
    <col min="12537" max="12537" width="7.7109375" style="9" bestFit="1" customWidth="1"/>
    <col min="12538" max="12538" width="7.28515625" style="9" customWidth="1"/>
    <col min="12539" max="12539" width="6.5703125" style="9" bestFit="1" customWidth="1"/>
    <col min="12540" max="12540" width="7.28515625" style="9" bestFit="1" customWidth="1"/>
    <col min="12541" max="12541" width="8.140625" style="9" customWidth="1"/>
    <col min="12542" max="12542" width="7.140625" style="9" customWidth="1"/>
    <col min="12543" max="12543" width="7.7109375" style="9" bestFit="1" customWidth="1"/>
    <col min="12544" max="12544" width="7.28515625" style="9" customWidth="1"/>
    <col min="12545" max="12545" width="7" style="9" customWidth="1"/>
    <col min="12546" max="12546" width="7.5703125" style="9" customWidth="1"/>
    <col min="12547" max="12547" width="7.140625" style="9" customWidth="1"/>
    <col min="12548" max="12548" width="7" style="9" customWidth="1"/>
    <col min="12549" max="12549" width="7.5703125" style="9" customWidth="1"/>
    <col min="12550" max="12550" width="7.140625" style="9" customWidth="1"/>
    <col min="12551" max="12567" width="8.7109375" style="9" customWidth="1"/>
    <col min="12568" max="12568" width="36.85546875" style="9" customWidth="1"/>
    <col min="12569" max="12575" width="14.28515625" style="9" customWidth="1"/>
    <col min="12576" max="12790" width="9.140625" style="9"/>
    <col min="12791" max="12791" width="38.5703125" style="9" customWidth="1"/>
    <col min="12792" max="12792" width="6.5703125" style="9" customWidth="1"/>
    <col min="12793" max="12793" width="7.7109375" style="9" bestFit="1" customWidth="1"/>
    <col min="12794" max="12794" width="7.28515625" style="9" customWidth="1"/>
    <col min="12795" max="12795" width="6.5703125" style="9" bestFit="1" customWidth="1"/>
    <col min="12796" max="12796" width="7.28515625" style="9" bestFit="1" customWidth="1"/>
    <col min="12797" max="12797" width="8.140625" style="9" customWidth="1"/>
    <col min="12798" max="12798" width="7.140625" style="9" customWidth="1"/>
    <col min="12799" max="12799" width="7.7109375" style="9" bestFit="1" customWidth="1"/>
    <col min="12800" max="12800" width="7.28515625" style="9" customWidth="1"/>
    <col min="12801" max="12801" width="7" style="9" customWidth="1"/>
    <col min="12802" max="12802" width="7.5703125" style="9" customWidth="1"/>
    <col min="12803" max="12803" width="7.140625" style="9" customWidth="1"/>
    <col min="12804" max="12804" width="7" style="9" customWidth="1"/>
    <col min="12805" max="12805" width="7.5703125" style="9" customWidth="1"/>
    <col min="12806" max="12806" width="7.140625" style="9" customWidth="1"/>
    <col min="12807" max="12823" width="8.7109375" style="9" customWidth="1"/>
    <col min="12824" max="12824" width="36.85546875" style="9" customWidth="1"/>
    <col min="12825" max="12831" width="14.28515625" style="9" customWidth="1"/>
    <col min="12832" max="13046" width="9.140625" style="9"/>
    <col min="13047" max="13047" width="38.5703125" style="9" customWidth="1"/>
    <col min="13048" max="13048" width="6.5703125" style="9" customWidth="1"/>
    <col min="13049" max="13049" width="7.7109375" style="9" bestFit="1" customWidth="1"/>
    <col min="13050" max="13050" width="7.28515625" style="9" customWidth="1"/>
    <col min="13051" max="13051" width="6.5703125" style="9" bestFit="1" customWidth="1"/>
    <col min="13052" max="13052" width="7.28515625" style="9" bestFit="1" customWidth="1"/>
    <col min="13053" max="13053" width="8.140625" style="9" customWidth="1"/>
    <col min="13054" max="13054" width="7.140625" style="9" customWidth="1"/>
    <col min="13055" max="13055" width="7.7109375" style="9" bestFit="1" customWidth="1"/>
    <col min="13056" max="13056" width="7.28515625" style="9" customWidth="1"/>
    <col min="13057" max="13057" width="7" style="9" customWidth="1"/>
    <col min="13058" max="13058" width="7.5703125" style="9" customWidth="1"/>
    <col min="13059" max="13059" width="7.140625" style="9" customWidth="1"/>
    <col min="13060" max="13060" width="7" style="9" customWidth="1"/>
    <col min="13061" max="13061" width="7.5703125" style="9" customWidth="1"/>
    <col min="13062" max="13062" width="7.140625" style="9" customWidth="1"/>
    <col min="13063" max="13079" width="8.7109375" style="9" customWidth="1"/>
    <col min="13080" max="13080" width="36.85546875" style="9" customWidth="1"/>
    <col min="13081" max="13087" width="14.28515625" style="9" customWidth="1"/>
    <col min="13088" max="13302" width="9.140625" style="9"/>
    <col min="13303" max="13303" width="38.5703125" style="9" customWidth="1"/>
    <col min="13304" max="13304" width="6.5703125" style="9" customWidth="1"/>
    <col min="13305" max="13305" width="7.7109375" style="9" bestFit="1" customWidth="1"/>
    <col min="13306" max="13306" width="7.28515625" style="9" customWidth="1"/>
    <col min="13307" max="13307" width="6.5703125" style="9" bestFit="1" customWidth="1"/>
    <col min="13308" max="13308" width="7.28515625" style="9" bestFit="1" customWidth="1"/>
    <col min="13309" max="13309" width="8.140625" style="9" customWidth="1"/>
    <col min="13310" max="13310" width="7.140625" style="9" customWidth="1"/>
    <col min="13311" max="13311" width="7.7109375" style="9" bestFit="1" customWidth="1"/>
    <col min="13312" max="13312" width="7.28515625" style="9" customWidth="1"/>
    <col min="13313" max="13313" width="7" style="9" customWidth="1"/>
    <col min="13314" max="13314" width="7.5703125" style="9" customWidth="1"/>
    <col min="13315" max="13315" width="7.140625" style="9" customWidth="1"/>
    <col min="13316" max="13316" width="7" style="9" customWidth="1"/>
    <col min="13317" max="13317" width="7.5703125" style="9" customWidth="1"/>
    <col min="13318" max="13318" width="7.140625" style="9" customWidth="1"/>
    <col min="13319" max="13335" width="8.7109375" style="9" customWidth="1"/>
    <col min="13336" max="13336" width="36.85546875" style="9" customWidth="1"/>
    <col min="13337" max="13343" width="14.28515625" style="9" customWidth="1"/>
    <col min="13344" max="13558" width="9.140625" style="9"/>
    <col min="13559" max="13559" width="38.5703125" style="9" customWidth="1"/>
    <col min="13560" max="13560" width="6.5703125" style="9" customWidth="1"/>
    <col min="13561" max="13561" width="7.7109375" style="9" bestFit="1" customWidth="1"/>
    <col min="13562" max="13562" width="7.28515625" style="9" customWidth="1"/>
    <col min="13563" max="13563" width="6.5703125" style="9" bestFit="1" customWidth="1"/>
    <col min="13564" max="13564" width="7.28515625" style="9" bestFit="1" customWidth="1"/>
    <col min="13565" max="13565" width="8.140625" style="9" customWidth="1"/>
    <col min="13566" max="13566" width="7.140625" style="9" customWidth="1"/>
    <col min="13567" max="13567" width="7.7109375" style="9" bestFit="1" customWidth="1"/>
    <col min="13568" max="13568" width="7.28515625" style="9" customWidth="1"/>
    <col min="13569" max="13569" width="7" style="9" customWidth="1"/>
    <col min="13570" max="13570" width="7.5703125" style="9" customWidth="1"/>
    <col min="13571" max="13571" width="7.140625" style="9" customWidth="1"/>
    <col min="13572" max="13572" width="7" style="9" customWidth="1"/>
    <col min="13573" max="13573" width="7.5703125" style="9" customWidth="1"/>
    <col min="13574" max="13574" width="7.140625" style="9" customWidth="1"/>
    <col min="13575" max="13591" width="8.7109375" style="9" customWidth="1"/>
    <col min="13592" max="13592" width="36.85546875" style="9" customWidth="1"/>
    <col min="13593" max="13599" width="14.28515625" style="9" customWidth="1"/>
    <col min="13600" max="13814" width="9.140625" style="9"/>
    <col min="13815" max="13815" width="38.5703125" style="9" customWidth="1"/>
    <col min="13816" max="13816" width="6.5703125" style="9" customWidth="1"/>
    <col min="13817" max="13817" width="7.7109375" style="9" bestFit="1" customWidth="1"/>
    <col min="13818" max="13818" width="7.28515625" style="9" customWidth="1"/>
    <col min="13819" max="13819" width="6.5703125" style="9" bestFit="1" customWidth="1"/>
    <col min="13820" max="13820" width="7.28515625" style="9" bestFit="1" customWidth="1"/>
    <col min="13821" max="13821" width="8.140625" style="9" customWidth="1"/>
    <col min="13822" max="13822" width="7.140625" style="9" customWidth="1"/>
    <col min="13823" max="13823" width="7.7109375" style="9" bestFit="1" customWidth="1"/>
    <col min="13824" max="13824" width="7.28515625" style="9" customWidth="1"/>
    <col min="13825" max="13825" width="7" style="9" customWidth="1"/>
    <col min="13826" max="13826" width="7.5703125" style="9" customWidth="1"/>
    <col min="13827" max="13827" width="7.140625" style="9" customWidth="1"/>
    <col min="13828" max="13828" width="7" style="9" customWidth="1"/>
    <col min="13829" max="13829" width="7.5703125" style="9" customWidth="1"/>
    <col min="13830" max="13830" width="7.140625" style="9" customWidth="1"/>
    <col min="13831" max="13847" width="8.7109375" style="9" customWidth="1"/>
    <col min="13848" max="13848" width="36.85546875" style="9" customWidth="1"/>
    <col min="13849" max="13855" width="14.28515625" style="9" customWidth="1"/>
    <col min="13856" max="14070" width="9.140625" style="9"/>
    <col min="14071" max="14071" width="38.5703125" style="9" customWidth="1"/>
    <col min="14072" max="14072" width="6.5703125" style="9" customWidth="1"/>
    <col min="14073" max="14073" width="7.7109375" style="9" bestFit="1" customWidth="1"/>
    <col min="14074" max="14074" width="7.28515625" style="9" customWidth="1"/>
    <col min="14075" max="14075" width="6.5703125" style="9" bestFit="1" customWidth="1"/>
    <col min="14076" max="14076" width="7.28515625" style="9" bestFit="1" customWidth="1"/>
    <col min="14077" max="14077" width="8.140625" style="9" customWidth="1"/>
    <col min="14078" max="14078" width="7.140625" style="9" customWidth="1"/>
    <col min="14079" max="14079" width="7.7109375" style="9" bestFit="1" customWidth="1"/>
    <col min="14080" max="14080" width="7.28515625" style="9" customWidth="1"/>
    <col min="14081" max="14081" width="7" style="9" customWidth="1"/>
    <col min="14082" max="14082" width="7.5703125" style="9" customWidth="1"/>
    <col min="14083" max="14083" width="7.140625" style="9" customWidth="1"/>
    <col min="14084" max="14084" width="7" style="9" customWidth="1"/>
    <col min="14085" max="14085" width="7.5703125" style="9" customWidth="1"/>
    <col min="14086" max="14086" width="7.140625" style="9" customWidth="1"/>
    <col min="14087" max="14103" width="8.7109375" style="9" customWidth="1"/>
    <col min="14104" max="14104" width="36.85546875" style="9" customWidth="1"/>
    <col min="14105" max="14111" width="14.28515625" style="9" customWidth="1"/>
    <col min="14112" max="14326" width="9.140625" style="9"/>
    <col min="14327" max="14327" width="38.5703125" style="9" customWidth="1"/>
    <col min="14328" max="14328" width="6.5703125" style="9" customWidth="1"/>
    <col min="14329" max="14329" width="7.7109375" style="9" bestFit="1" customWidth="1"/>
    <col min="14330" max="14330" width="7.28515625" style="9" customWidth="1"/>
    <col min="14331" max="14331" width="6.5703125" style="9" bestFit="1" customWidth="1"/>
    <col min="14332" max="14332" width="7.28515625" style="9" bestFit="1" customWidth="1"/>
    <col min="14333" max="14333" width="8.140625" style="9" customWidth="1"/>
    <col min="14334" max="14334" width="7.140625" style="9" customWidth="1"/>
    <col min="14335" max="14335" width="7.7109375" style="9" bestFit="1" customWidth="1"/>
    <col min="14336" max="14336" width="7.28515625" style="9" customWidth="1"/>
    <col min="14337" max="14337" width="7" style="9" customWidth="1"/>
    <col min="14338" max="14338" width="7.5703125" style="9" customWidth="1"/>
    <col min="14339" max="14339" width="7.140625" style="9" customWidth="1"/>
    <col min="14340" max="14340" width="7" style="9" customWidth="1"/>
    <col min="14341" max="14341" width="7.5703125" style="9" customWidth="1"/>
    <col min="14342" max="14342" width="7.140625" style="9" customWidth="1"/>
    <col min="14343" max="14359" width="8.7109375" style="9" customWidth="1"/>
    <col min="14360" max="14360" width="36.85546875" style="9" customWidth="1"/>
    <col min="14361" max="14367" width="14.28515625" style="9" customWidth="1"/>
    <col min="14368" max="14582" width="9.140625" style="9"/>
    <col min="14583" max="14583" width="38.5703125" style="9" customWidth="1"/>
    <col min="14584" max="14584" width="6.5703125" style="9" customWidth="1"/>
    <col min="14585" max="14585" width="7.7109375" style="9" bestFit="1" customWidth="1"/>
    <col min="14586" max="14586" width="7.28515625" style="9" customWidth="1"/>
    <col min="14587" max="14587" width="6.5703125" style="9" bestFit="1" customWidth="1"/>
    <col min="14588" max="14588" width="7.28515625" style="9" bestFit="1" customWidth="1"/>
    <col min="14589" max="14589" width="8.140625" style="9" customWidth="1"/>
    <col min="14590" max="14590" width="7.140625" style="9" customWidth="1"/>
    <col min="14591" max="14591" width="7.7109375" style="9" bestFit="1" customWidth="1"/>
    <col min="14592" max="14592" width="7.28515625" style="9" customWidth="1"/>
    <col min="14593" max="14593" width="7" style="9" customWidth="1"/>
    <col min="14594" max="14594" width="7.5703125" style="9" customWidth="1"/>
    <col min="14595" max="14595" width="7.140625" style="9" customWidth="1"/>
    <col min="14596" max="14596" width="7" style="9" customWidth="1"/>
    <col min="14597" max="14597" width="7.5703125" style="9" customWidth="1"/>
    <col min="14598" max="14598" width="7.140625" style="9" customWidth="1"/>
    <col min="14599" max="14615" width="8.7109375" style="9" customWidth="1"/>
    <col min="14616" max="14616" width="36.85546875" style="9" customWidth="1"/>
    <col min="14617" max="14623" width="14.28515625" style="9" customWidth="1"/>
    <col min="14624" max="14838" width="9.140625" style="9"/>
    <col min="14839" max="14839" width="38.5703125" style="9" customWidth="1"/>
    <col min="14840" max="14840" width="6.5703125" style="9" customWidth="1"/>
    <col min="14841" max="14841" width="7.7109375" style="9" bestFit="1" customWidth="1"/>
    <col min="14842" max="14842" width="7.28515625" style="9" customWidth="1"/>
    <col min="14843" max="14843" width="6.5703125" style="9" bestFit="1" customWidth="1"/>
    <col min="14844" max="14844" width="7.28515625" style="9" bestFit="1" customWidth="1"/>
    <col min="14845" max="14845" width="8.140625" style="9" customWidth="1"/>
    <col min="14846" max="14846" width="7.140625" style="9" customWidth="1"/>
    <col min="14847" max="14847" width="7.7109375" style="9" bestFit="1" customWidth="1"/>
    <col min="14848" max="14848" width="7.28515625" style="9" customWidth="1"/>
    <col min="14849" max="14849" width="7" style="9" customWidth="1"/>
    <col min="14850" max="14850" width="7.5703125" style="9" customWidth="1"/>
    <col min="14851" max="14851" width="7.140625" style="9" customWidth="1"/>
    <col min="14852" max="14852" width="7" style="9" customWidth="1"/>
    <col min="14853" max="14853" width="7.5703125" style="9" customWidth="1"/>
    <col min="14854" max="14854" width="7.140625" style="9" customWidth="1"/>
    <col min="14855" max="14871" width="8.7109375" style="9" customWidth="1"/>
    <col min="14872" max="14872" width="36.85546875" style="9" customWidth="1"/>
    <col min="14873" max="14879" width="14.28515625" style="9" customWidth="1"/>
    <col min="14880" max="15094" width="9.140625" style="9"/>
    <col min="15095" max="15095" width="38.5703125" style="9" customWidth="1"/>
    <col min="15096" max="15096" width="6.5703125" style="9" customWidth="1"/>
    <col min="15097" max="15097" width="7.7109375" style="9" bestFit="1" customWidth="1"/>
    <col min="15098" max="15098" width="7.28515625" style="9" customWidth="1"/>
    <col min="15099" max="15099" width="6.5703125" style="9" bestFit="1" customWidth="1"/>
    <col min="15100" max="15100" width="7.28515625" style="9" bestFit="1" customWidth="1"/>
    <col min="15101" max="15101" width="8.140625" style="9" customWidth="1"/>
    <col min="15102" max="15102" width="7.140625" style="9" customWidth="1"/>
    <col min="15103" max="15103" width="7.7109375" style="9" bestFit="1" customWidth="1"/>
    <col min="15104" max="15104" width="7.28515625" style="9" customWidth="1"/>
    <col min="15105" max="15105" width="7" style="9" customWidth="1"/>
    <col min="15106" max="15106" width="7.5703125" style="9" customWidth="1"/>
    <col min="15107" max="15107" width="7.140625" style="9" customWidth="1"/>
    <col min="15108" max="15108" width="7" style="9" customWidth="1"/>
    <col min="15109" max="15109" width="7.5703125" style="9" customWidth="1"/>
    <col min="15110" max="15110" width="7.140625" style="9" customWidth="1"/>
    <col min="15111" max="15127" width="8.7109375" style="9" customWidth="1"/>
    <col min="15128" max="15128" width="36.85546875" style="9" customWidth="1"/>
    <col min="15129" max="15135" width="14.28515625" style="9" customWidth="1"/>
    <col min="15136" max="15350" width="9.140625" style="9"/>
    <col min="15351" max="15351" width="38.5703125" style="9" customWidth="1"/>
    <col min="15352" max="15352" width="6.5703125" style="9" customWidth="1"/>
    <col min="15353" max="15353" width="7.7109375" style="9" bestFit="1" customWidth="1"/>
    <col min="15354" max="15354" width="7.28515625" style="9" customWidth="1"/>
    <col min="15355" max="15355" width="6.5703125" style="9" bestFit="1" customWidth="1"/>
    <col min="15356" max="15356" width="7.28515625" style="9" bestFit="1" customWidth="1"/>
    <col min="15357" max="15357" width="8.140625" style="9" customWidth="1"/>
    <col min="15358" max="15358" width="7.140625" style="9" customWidth="1"/>
    <col min="15359" max="15359" width="7.7109375" style="9" bestFit="1" customWidth="1"/>
    <col min="15360" max="15360" width="7.28515625" style="9" customWidth="1"/>
    <col min="15361" max="15361" width="7" style="9" customWidth="1"/>
    <col min="15362" max="15362" width="7.5703125" style="9" customWidth="1"/>
    <col min="15363" max="15363" width="7.140625" style="9" customWidth="1"/>
    <col min="15364" max="15364" width="7" style="9" customWidth="1"/>
    <col min="15365" max="15365" width="7.5703125" style="9" customWidth="1"/>
    <col min="15366" max="15366" width="7.140625" style="9" customWidth="1"/>
    <col min="15367" max="15383" width="8.7109375" style="9" customWidth="1"/>
    <col min="15384" max="15384" width="36.85546875" style="9" customWidth="1"/>
    <col min="15385" max="15391" width="14.28515625" style="9" customWidth="1"/>
    <col min="15392" max="15606" width="9.140625" style="9"/>
    <col min="15607" max="15607" width="38.5703125" style="9" customWidth="1"/>
    <col min="15608" max="15608" width="6.5703125" style="9" customWidth="1"/>
    <col min="15609" max="15609" width="7.7109375" style="9" bestFit="1" customWidth="1"/>
    <col min="15610" max="15610" width="7.28515625" style="9" customWidth="1"/>
    <col min="15611" max="15611" width="6.5703125" style="9" bestFit="1" customWidth="1"/>
    <col min="15612" max="15612" width="7.28515625" style="9" bestFit="1" customWidth="1"/>
    <col min="15613" max="15613" width="8.140625" style="9" customWidth="1"/>
    <col min="15614" max="15614" width="7.140625" style="9" customWidth="1"/>
    <col min="15615" max="15615" width="7.7109375" style="9" bestFit="1" customWidth="1"/>
    <col min="15616" max="15616" width="7.28515625" style="9" customWidth="1"/>
    <col min="15617" max="15617" width="7" style="9" customWidth="1"/>
    <col min="15618" max="15618" width="7.5703125" style="9" customWidth="1"/>
    <col min="15619" max="15619" width="7.140625" style="9" customWidth="1"/>
    <col min="15620" max="15620" width="7" style="9" customWidth="1"/>
    <col min="15621" max="15621" width="7.5703125" style="9" customWidth="1"/>
    <col min="15622" max="15622" width="7.140625" style="9" customWidth="1"/>
    <col min="15623" max="15639" width="8.7109375" style="9" customWidth="1"/>
    <col min="15640" max="15640" width="36.85546875" style="9" customWidth="1"/>
    <col min="15641" max="15647" width="14.28515625" style="9" customWidth="1"/>
    <col min="15648" max="15862" width="9.140625" style="9"/>
    <col min="15863" max="15863" width="38.5703125" style="9" customWidth="1"/>
    <col min="15864" max="15864" width="6.5703125" style="9" customWidth="1"/>
    <col min="15865" max="15865" width="7.7109375" style="9" bestFit="1" customWidth="1"/>
    <col min="15866" max="15866" width="7.28515625" style="9" customWidth="1"/>
    <col min="15867" max="15867" width="6.5703125" style="9" bestFit="1" customWidth="1"/>
    <col min="15868" max="15868" width="7.28515625" style="9" bestFit="1" customWidth="1"/>
    <col min="15869" max="15869" width="8.140625" style="9" customWidth="1"/>
    <col min="15870" max="15870" width="7.140625" style="9" customWidth="1"/>
    <col min="15871" max="15871" width="7.7109375" style="9" bestFit="1" customWidth="1"/>
    <col min="15872" max="15872" width="7.28515625" style="9" customWidth="1"/>
    <col min="15873" max="15873" width="7" style="9" customWidth="1"/>
    <col min="15874" max="15874" width="7.5703125" style="9" customWidth="1"/>
    <col min="15875" max="15875" width="7.140625" style="9" customWidth="1"/>
    <col min="15876" max="15876" width="7" style="9" customWidth="1"/>
    <col min="15877" max="15877" width="7.5703125" style="9" customWidth="1"/>
    <col min="15878" max="15878" width="7.140625" style="9" customWidth="1"/>
    <col min="15879" max="15895" width="8.7109375" style="9" customWidth="1"/>
    <col min="15896" max="15896" width="36.85546875" style="9" customWidth="1"/>
    <col min="15897" max="15903" width="14.28515625" style="9" customWidth="1"/>
    <col min="15904" max="16118" width="9.140625" style="9"/>
    <col min="16119" max="16119" width="38.5703125" style="9" customWidth="1"/>
    <col min="16120" max="16120" width="6.5703125" style="9" customWidth="1"/>
    <col min="16121" max="16121" width="7.7109375" style="9" bestFit="1" customWidth="1"/>
    <col min="16122" max="16122" width="7.28515625" style="9" customWidth="1"/>
    <col min="16123" max="16123" width="6.5703125" style="9" bestFit="1" customWidth="1"/>
    <col min="16124" max="16124" width="7.28515625" style="9" bestFit="1" customWidth="1"/>
    <col min="16125" max="16125" width="8.140625" style="9" customWidth="1"/>
    <col min="16126" max="16126" width="7.140625" style="9" customWidth="1"/>
    <col min="16127" max="16127" width="7.7109375" style="9" bestFit="1" customWidth="1"/>
    <col min="16128" max="16128" width="7.28515625" style="9" customWidth="1"/>
    <col min="16129" max="16129" width="7" style="9" customWidth="1"/>
    <col min="16130" max="16130" width="7.5703125" style="9" customWidth="1"/>
    <col min="16131" max="16131" width="7.140625" style="9" customWidth="1"/>
    <col min="16132" max="16132" width="7" style="9" customWidth="1"/>
    <col min="16133" max="16133" width="7.5703125" style="9" customWidth="1"/>
    <col min="16134" max="16134" width="7.140625" style="9" customWidth="1"/>
    <col min="16135" max="16151" width="8.7109375" style="9" customWidth="1"/>
    <col min="16152" max="16152" width="36.85546875" style="9" customWidth="1"/>
    <col min="16153" max="16159" width="14.28515625" style="9" customWidth="1"/>
    <col min="16160" max="16384" width="9.140625" style="9"/>
  </cols>
  <sheetData>
    <row r="1" spans="1:38" ht="16.5" customHeight="1">
      <c r="K1"/>
      <c r="L1"/>
      <c r="W1" s="1444" t="s">
        <v>1540</v>
      </c>
      <c r="X1" s="1445"/>
    </row>
    <row r="2" spans="1:38" ht="42" customHeight="1">
      <c r="A2" s="1569" t="s">
        <v>1504</v>
      </c>
      <c r="B2" s="1569"/>
      <c r="C2" s="1569"/>
      <c r="D2" s="1569"/>
      <c r="E2" s="1569"/>
      <c r="F2" s="1569"/>
      <c r="G2" s="1569"/>
      <c r="H2" s="1569"/>
      <c r="I2" s="1569"/>
      <c r="J2" s="1569"/>
      <c r="K2" s="1569"/>
      <c r="L2" s="1569"/>
      <c r="M2" s="1569"/>
      <c r="N2" s="1569"/>
      <c r="O2" s="1569"/>
      <c r="P2" s="1569"/>
      <c r="Q2" s="1569"/>
      <c r="R2" s="1569"/>
      <c r="S2" s="1569"/>
      <c r="T2" s="1569"/>
      <c r="U2" s="1569"/>
      <c r="V2" s="1569"/>
      <c r="W2" s="1569"/>
      <c r="X2" s="1569"/>
    </row>
    <row r="3" spans="1:38" ht="11.25" customHeight="1">
      <c r="B3" s="909"/>
      <c r="C3" s="9"/>
      <c r="D3" s="9"/>
      <c r="E3" s="9"/>
      <c r="F3" s="9"/>
      <c r="G3" s="9"/>
      <c r="H3" s="9"/>
      <c r="I3" s="9"/>
      <c r="J3" s="9"/>
      <c r="K3" s="9"/>
      <c r="L3" s="9"/>
      <c r="M3" s="596"/>
      <c r="N3" s="9"/>
      <c r="O3" s="9"/>
      <c r="P3" s="9"/>
      <c r="Q3" s="9"/>
      <c r="R3" s="9"/>
      <c r="S3" s="9"/>
      <c r="T3" s="9"/>
      <c r="U3" s="9"/>
      <c r="V3" s="9"/>
      <c r="W3" s="9"/>
      <c r="X3" s="598"/>
    </row>
    <row r="4" spans="1:38" s="192" customFormat="1" ht="25.5" customHeight="1">
      <c r="A4" s="187" t="s">
        <v>1516</v>
      </c>
      <c r="B4" s="188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9"/>
      <c r="N4"/>
      <c r="O4"/>
      <c r="P4"/>
      <c r="Q4"/>
      <c r="R4"/>
      <c r="S4"/>
      <c r="T4"/>
      <c r="U4"/>
      <c r="V4"/>
      <c r="W4"/>
      <c r="X4" s="599"/>
      <c r="Z4" s="858"/>
      <c r="AA4" s="858"/>
      <c r="AB4" s="858"/>
      <c r="AC4" s="858"/>
      <c r="AD4" s="858"/>
      <c r="AE4" s="858"/>
    </row>
    <row r="5" spans="1:38" s="192" customFormat="1" ht="25.5" customHeight="1">
      <c r="A5" s="187"/>
      <c r="B5" s="188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9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665" t="s">
        <v>873</v>
      </c>
      <c r="Z5" s="858"/>
      <c r="AA5" s="858"/>
      <c r="AB5" s="858"/>
      <c r="AC5" s="858"/>
      <c r="AD5" s="858"/>
      <c r="AE5" s="858"/>
    </row>
    <row r="6" spans="1:38" ht="36" customHeight="1">
      <c r="A6" s="1570" t="s">
        <v>740</v>
      </c>
      <c r="B6" s="1571"/>
      <c r="C6" s="1578" t="s">
        <v>1019</v>
      </c>
      <c r="D6" s="1579"/>
      <c r="E6" s="1579"/>
      <c r="F6" s="1579"/>
      <c r="G6" s="1579"/>
      <c r="H6" s="1579"/>
      <c r="I6" s="1579"/>
      <c r="J6" s="1579"/>
      <c r="K6" s="1579"/>
      <c r="L6" s="1580"/>
      <c r="M6" s="603"/>
      <c r="N6" s="1566" t="s">
        <v>1020</v>
      </c>
      <c r="O6" s="1567"/>
      <c r="P6" s="1567"/>
      <c r="Q6" s="1567"/>
      <c r="R6" s="1567"/>
      <c r="S6" s="1567"/>
      <c r="T6" s="1567"/>
      <c r="U6" s="1567"/>
      <c r="V6" s="1567"/>
      <c r="W6" s="1568"/>
      <c r="X6" s="1539" t="s">
        <v>1193</v>
      </c>
    </row>
    <row r="7" spans="1:38" s="21" customFormat="1" ht="28.5" customHeight="1">
      <c r="A7" s="1572"/>
      <c r="B7" s="1573"/>
      <c r="C7" s="1576" t="s">
        <v>1505</v>
      </c>
      <c r="D7" s="1557"/>
      <c r="E7" s="1557"/>
      <c r="F7" s="1557"/>
      <c r="G7" s="1557"/>
      <c r="H7" s="1557"/>
      <c r="I7" s="1557"/>
      <c r="J7" s="1557"/>
      <c r="K7" s="1557"/>
      <c r="L7" s="1558"/>
      <c r="M7" s="604"/>
      <c r="N7" s="1576" t="s">
        <v>1505</v>
      </c>
      <c r="O7" s="1557"/>
      <c r="P7" s="1557"/>
      <c r="Q7" s="1557"/>
      <c r="R7" s="1557"/>
      <c r="S7" s="1557"/>
      <c r="T7" s="1557"/>
      <c r="U7" s="1557"/>
      <c r="V7" s="1557"/>
      <c r="W7" s="1558"/>
      <c r="X7" s="1539"/>
      <c r="Z7" s="910"/>
      <c r="AA7" s="910"/>
      <c r="AB7" s="910"/>
      <c r="AC7" s="910"/>
      <c r="AD7" s="910"/>
      <c r="AE7" s="910"/>
    </row>
    <row r="8" spans="1:38" s="21" customFormat="1" ht="36.75" customHeight="1">
      <c r="A8" s="1572"/>
      <c r="B8" s="1573"/>
      <c r="C8" s="1577" t="s">
        <v>997</v>
      </c>
      <c r="D8" s="1560"/>
      <c r="E8" s="1561"/>
      <c r="F8" s="1559" t="s">
        <v>1005</v>
      </c>
      <c r="G8" s="1562"/>
      <c r="H8" s="1563"/>
      <c r="I8" s="1559" t="s">
        <v>1006</v>
      </c>
      <c r="J8" s="1562"/>
      <c r="K8" s="1563"/>
      <c r="L8" s="1564" t="s">
        <v>136</v>
      </c>
      <c r="M8" s="604"/>
      <c r="N8" s="1559" t="s">
        <v>997</v>
      </c>
      <c r="O8" s="1560"/>
      <c r="P8" s="1561"/>
      <c r="Q8" s="1559" t="s">
        <v>1005</v>
      </c>
      <c r="R8" s="1562"/>
      <c r="S8" s="1563"/>
      <c r="T8" s="1559" t="s">
        <v>1006</v>
      </c>
      <c r="U8" s="1562"/>
      <c r="V8" s="1563"/>
      <c r="W8" s="1564" t="s">
        <v>136</v>
      </c>
      <c r="X8" s="1539"/>
      <c r="Z8" s="910"/>
      <c r="AA8" s="910"/>
      <c r="AB8" s="910"/>
      <c r="AC8" s="910"/>
      <c r="AD8" s="910"/>
      <c r="AE8" s="910"/>
    </row>
    <row r="9" spans="1:38" s="21" customFormat="1" ht="39.950000000000003" customHeight="1">
      <c r="A9" s="1574"/>
      <c r="B9" s="1575"/>
      <c r="C9" s="610" t="s">
        <v>743</v>
      </c>
      <c r="D9" s="236" t="s">
        <v>744</v>
      </c>
      <c r="E9" s="22" t="s">
        <v>136</v>
      </c>
      <c r="F9" s="235" t="s">
        <v>743</v>
      </c>
      <c r="G9" s="236" t="s">
        <v>744</v>
      </c>
      <c r="H9" s="22" t="s">
        <v>136</v>
      </c>
      <c r="I9" s="235" t="s">
        <v>743</v>
      </c>
      <c r="J9" s="236" t="s">
        <v>744</v>
      </c>
      <c r="K9" s="22" t="s">
        <v>136</v>
      </c>
      <c r="L9" s="1565"/>
      <c r="M9" s="604"/>
      <c r="N9" s="235" t="s">
        <v>743</v>
      </c>
      <c r="O9" s="236" t="s">
        <v>744</v>
      </c>
      <c r="P9" s="22" t="s">
        <v>136</v>
      </c>
      <c r="Q9" s="235" t="s">
        <v>743</v>
      </c>
      <c r="R9" s="236" t="s">
        <v>744</v>
      </c>
      <c r="S9" s="22" t="s">
        <v>136</v>
      </c>
      <c r="T9" s="235" t="s">
        <v>743</v>
      </c>
      <c r="U9" s="236" t="s">
        <v>744</v>
      </c>
      <c r="V9" s="22" t="s">
        <v>136</v>
      </c>
      <c r="W9" s="1565"/>
      <c r="X9" s="1539"/>
      <c r="Z9" s="1582" t="s">
        <v>1444</v>
      </c>
      <c r="AA9" s="1582"/>
      <c r="AB9" s="1582" t="s">
        <v>1445</v>
      </c>
      <c r="AC9" s="1582"/>
      <c r="AD9" s="1582" t="s">
        <v>1446</v>
      </c>
      <c r="AE9" s="1582"/>
      <c r="AG9" s="1582" t="s">
        <v>1444</v>
      </c>
      <c r="AH9" s="1582"/>
      <c r="AI9" s="1582" t="s">
        <v>1445</v>
      </c>
      <c r="AJ9" s="1582"/>
      <c r="AK9" s="1582" t="s">
        <v>1446</v>
      </c>
      <c r="AL9" s="1582"/>
    </row>
    <row r="10" spans="1:38" ht="15" customHeight="1">
      <c r="A10" s="1581" t="s">
        <v>140</v>
      </c>
      <c r="B10" s="1581"/>
      <c r="C10" s="1581"/>
      <c r="D10" s="1581"/>
      <c r="E10" s="1581"/>
      <c r="F10" s="1581"/>
      <c r="G10" s="1581"/>
      <c r="H10" s="1581"/>
      <c r="I10" s="1581"/>
      <c r="J10" s="1581"/>
      <c r="K10" s="1581"/>
      <c r="L10" s="1581"/>
      <c r="M10" s="604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0"/>
      <c r="AG10" s="857"/>
      <c r="AH10" s="857"/>
      <c r="AI10" s="857"/>
      <c r="AJ10" s="857"/>
      <c r="AK10" s="857"/>
      <c r="AL10" s="857"/>
    </row>
    <row r="11" spans="1:38" s="7" customFormat="1" ht="18.95" customHeight="1">
      <c r="A11" s="736">
        <v>1</v>
      </c>
      <c r="B11" s="935" t="s">
        <v>368</v>
      </c>
      <c r="C11" s="863">
        <f>SUM('107(b)'!C11*1.1)</f>
        <v>2.9814400000000001</v>
      </c>
      <c r="D11" s="863">
        <f>SUM('107(b)'!D11*1.1)</f>
        <v>0.52756000000000003</v>
      </c>
      <c r="E11" s="863">
        <f>SUM('107(b)'!E11*1.1)</f>
        <v>3.5090000000000003</v>
      </c>
      <c r="F11" s="863">
        <f>SUM('107(b)'!F11*1.1)</f>
        <v>0.73931000000000013</v>
      </c>
      <c r="G11" s="863">
        <f>SUM('107(b)'!G11*1.1)</f>
        <v>0.17061000000000001</v>
      </c>
      <c r="H11" s="863">
        <f>SUM('107(b)'!H11*1.1)</f>
        <v>0.90992000000000017</v>
      </c>
      <c r="I11" s="863">
        <f>SUM('107(b)'!I11*1.1)</f>
        <v>0</v>
      </c>
      <c r="J11" s="863">
        <f>SUM('107(b)'!J11*1.1)</f>
        <v>0</v>
      </c>
      <c r="K11" s="873">
        <f>I11+J11</f>
        <v>0</v>
      </c>
      <c r="L11" s="874">
        <f>E11+K11+H11</f>
        <v>4.4189200000000008</v>
      </c>
      <c r="M11" s="604"/>
      <c r="N11" s="863">
        <f>SUM('107(b)'!N11*1.1)</f>
        <v>0</v>
      </c>
      <c r="O11" s="863">
        <f>SUM('107(b)'!O11*1.1)</f>
        <v>0</v>
      </c>
      <c r="P11" s="863">
        <f>SUM('107(b)'!P11*1.1)</f>
        <v>0</v>
      </c>
      <c r="Q11" s="863">
        <f>SUM('107(b)'!Q11*1.1)</f>
        <v>0</v>
      </c>
      <c r="R11" s="863">
        <f>SUM('107(b)'!R11*1.1)</f>
        <v>0</v>
      </c>
      <c r="S11" s="863">
        <f>SUM('107(b)'!S11*1.1)</f>
        <v>0</v>
      </c>
      <c r="T11" s="863">
        <f>SUM('107(b)'!T11*1.1)</f>
        <v>0</v>
      </c>
      <c r="U11" s="863">
        <f>SUM('107(b)'!U11*1.1)</f>
        <v>0</v>
      </c>
      <c r="V11" s="863">
        <f>SUM('107(b)'!V11*1.1)</f>
        <v>0</v>
      </c>
      <c r="W11" s="608">
        <f>P11+V11+S11</f>
        <v>0</v>
      </c>
      <c r="X11" s="601">
        <f>W11+L11</f>
        <v>4.4189200000000008</v>
      </c>
      <c r="Z11" s="860">
        <f>SUM(AG11*2)</f>
        <v>61600</v>
      </c>
      <c r="AA11" s="860">
        <f>SUM(AH11*2)-500</f>
        <v>10900</v>
      </c>
      <c r="AB11" s="860">
        <f>SUM(AI11*2)-500</f>
        <v>61100</v>
      </c>
      <c r="AC11" s="860">
        <f>SUM(AJ11*2)-500</f>
        <v>14100</v>
      </c>
      <c r="AD11" s="860"/>
      <c r="AE11" s="860"/>
      <c r="AG11" s="860">
        <v>30800</v>
      </c>
      <c r="AH11" s="860">
        <v>5700</v>
      </c>
      <c r="AI11" s="860">
        <v>30800</v>
      </c>
      <c r="AJ11" s="860">
        <v>7300</v>
      </c>
      <c r="AK11" s="860"/>
      <c r="AL11" s="860"/>
    </row>
    <row r="12" spans="1:38" s="7" customFormat="1" ht="28.5">
      <c r="A12" s="736">
        <v>2</v>
      </c>
      <c r="B12" s="935" t="s">
        <v>1309</v>
      </c>
      <c r="C12" s="863">
        <f>SUM('107(b)'!C12*1.1)</f>
        <v>9.2831200000000003</v>
      </c>
      <c r="D12" s="863">
        <f>SUM('107(b)'!D12*1.1)</f>
        <v>1.6426300000000003</v>
      </c>
      <c r="E12" s="863">
        <f>SUM('107(b)'!E12*1.1)</f>
        <v>10.925750000000001</v>
      </c>
      <c r="F12" s="863">
        <f>SUM('107(b)'!F12*1.1)</f>
        <v>6.7199000000000009</v>
      </c>
      <c r="G12" s="863">
        <f>SUM('107(b)'!G12*1.1)</f>
        <v>1.27182</v>
      </c>
      <c r="H12" s="863">
        <f>SUM('107(b)'!H12*1.1)</f>
        <v>7.9917200000000008</v>
      </c>
      <c r="I12" s="863">
        <f>SUM('107(b)'!I12*1.1)</f>
        <v>2.88002</v>
      </c>
      <c r="J12" s="863">
        <f>SUM('107(b)'!J12*1.1)</f>
        <v>0.33230999999999999</v>
      </c>
      <c r="K12" s="873">
        <f t="shared" ref="K12:K20" si="0">I12+J12</f>
        <v>3.2123300000000001</v>
      </c>
      <c r="L12" s="874">
        <f t="shared" ref="L12:L20" si="1">E12+K12+H12</f>
        <v>22.129800000000003</v>
      </c>
      <c r="M12" s="604"/>
      <c r="N12" s="863">
        <f>SUM('107(b)'!N12*1.1)</f>
        <v>15.577650000000002</v>
      </c>
      <c r="O12" s="863">
        <f>SUM('107(b)'!O12*1.1)</f>
        <v>0</v>
      </c>
      <c r="P12" s="863">
        <f>SUM('107(b)'!P12*1.1)</f>
        <v>15.577650000000002</v>
      </c>
      <c r="Q12" s="863">
        <f>SUM('107(b)'!Q12*1.1)</f>
        <v>0</v>
      </c>
      <c r="R12" s="863">
        <f>SUM('107(b)'!R12*1.1)</f>
        <v>0</v>
      </c>
      <c r="S12" s="863">
        <f>SUM('107(b)'!S12*1.1)</f>
        <v>0</v>
      </c>
      <c r="T12" s="863">
        <f>SUM('107(b)'!T12*1.1)</f>
        <v>0</v>
      </c>
      <c r="U12" s="863">
        <f>SUM('107(b)'!U12*1.1)</f>
        <v>0</v>
      </c>
      <c r="V12" s="863">
        <f>SUM('107(b)'!V12*1.1)</f>
        <v>0</v>
      </c>
      <c r="W12" s="608">
        <f t="shared" ref="W12:W20" si="2">P12+V12+S12</f>
        <v>15.577650000000002</v>
      </c>
      <c r="X12" s="601">
        <f t="shared" ref="X12:X75" si="3">W12+L12</f>
        <v>37.707450000000009</v>
      </c>
      <c r="Z12" s="860">
        <f t="shared" ref="Z12:Z20" si="4">SUM(AG12*2)</f>
        <v>61600</v>
      </c>
      <c r="AA12" s="860">
        <f t="shared" ref="AA12:AA20" si="5">SUM(AH12*2)-500</f>
        <v>10900</v>
      </c>
      <c r="AB12" s="860">
        <f t="shared" ref="AB12:AB20" si="6">SUM(AI12*2)-500</f>
        <v>74500</v>
      </c>
      <c r="AC12" s="860">
        <f t="shared" ref="AC12:AC20" si="7">SUM(AJ12*2)-500</f>
        <v>14100</v>
      </c>
      <c r="AD12" s="860"/>
      <c r="AE12" s="860"/>
      <c r="AG12" s="860">
        <v>30800</v>
      </c>
      <c r="AH12" s="860">
        <v>5700</v>
      </c>
      <c r="AI12" s="860">
        <v>37500</v>
      </c>
      <c r="AJ12" s="860">
        <v>7300</v>
      </c>
      <c r="AK12" s="860"/>
      <c r="AL12" s="860"/>
    </row>
    <row r="13" spans="1:38" s="7" customFormat="1" ht="18.95" customHeight="1">
      <c r="A13" s="736">
        <v>3</v>
      </c>
      <c r="B13" s="935" t="s">
        <v>380</v>
      </c>
      <c r="C13" s="863">
        <f>SUM('107(b)'!C13*1.1)</f>
        <v>4.3366400000000001</v>
      </c>
      <c r="D13" s="863">
        <f>SUM('107(b)'!D13*1.1)</f>
        <v>0.76736000000000004</v>
      </c>
      <c r="E13" s="863">
        <f>SUM('107(b)'!E13*1.1)</f>
        <v>5.104000000000001</v>
      </c>
      <c r="F13" s="863">
        <f>SUM('107(b)'!F13*1.1)</f>
        <v>1.8818800000000002</v>
      </c>
      <c r="G13" s="863">
        <f>SUM('107(b)'!G13*1.1)</f>
        <v>0.43428</v>
      </c>
      <c r="H13" s="863">
        <f>SUM('107(b)'!H13*1.1)</f>
        <v>2.31616</v>
      </c>
      <c r="I13" s="863">
        <f>SUM('107(b)'!I13*1.1)</f>
        <v>2.3261700000000003</v>
      </c>
      <c r="J13" s="863">
        <f>SUM('107(b)'!J13*1.1)</f>
        <v>1.8830900000000002</v>
      </c>
      <c r="K13" s="873">
        <f t="shared" si="0"/>
        <v>4.2092600000000004</v>
      </c>
      <c r="L13" s="874">
        <f t="shared" si="1"/>
        <v>11.629420000000001</v>
      </c>
      <c r="M13" s="604"/>
      <c r="N13" s="863">
        <f>SUM('107(b)'!N13*1.1)</f>
        <v>0</v>
      </c>
      <c r="O13" s="863">
        <f>SUM('107(b)'!O13*1.1)</f>
        <v>0</v>
      </c>
      <c r="P13" s="863">
        <f>SUM('107(b)'!P13*1.1)</f>
        <v>0</v>
      </c>
      <c r="Q13" s="863">
        <f>SUM('107(b)'!Q13*1.1)</f>
        <v>0</v>
      </c>
      <c r="R13" s="863">
        <f>SUM('107(b)'!R13*1.1)</f>
        <v>0</v>
      </c>
      <c r="S13" s="863">
        <f>SUM('107(b)'!S13*1.1)</f>
        <v>0</v>
      </c>
      <c r="T13" s="863">
        <f>SUM('107(b)'!T13*1.1)</f>
        <v>0</v>
      </c>
      <c r="U13" s="863">
        <f>SUM('107(b)'!U13*1.1)</f>
        <v>0</v>
      </c>
      <c r="V13" s="863">
        <f>SUM('107(b)'!V13*1.1)</f>
        <v>0</v>
      </c>
      <c r="W13" s="608">
        <f t="shared" si="2"/>
        <v>0</v>
      </c>
      <c r="X13" s="601">
        <f t="shared" si="3"/>
        <v>11.629420000000001</v>
      </c>
      <c r="Z13" s="860">
        <f t="shared" si="4"/>
        <v>61600</v>
      </c>
      <c r="AA13" s="860">
        <f t="shared" si="5"/>
        <v>10900</v>
      </c>
      <c r="AB13" s="860">
        <f t="shared" si="6"/>
        <v>61100</v>
      </c>
      <c r="AC13" s="860">
        <f t="shared" si="7"/>
        <v>14100</v>
      </c>
      <c r="AD13" s="860"/>
      <c r="AE13" s="860"/>
      <c r="AG13" s="860">
        <v>30800</v>
      </c>
      <c r="AH13" s="860">
        <v>5700</v>
      </c>
      <c r="AI13" s="860">
        <v>30800</v>
      </c>
      <c r="AJ13" s="860">
        <v>7300</v>
      </c>
      <c r="AK13" s="860"/>
      <c r="AL13" s="860"/>
    </row>
    <row r="14" spans="1:38" s="7" customFormat="1" ht="18.95" customHeight="1">
      <c r="A14" s="736">
        <v>4</v>
      </c>
      <c r="B14" s="935" t="s">
        <v>1171</v>
      </c>
      <c r="C14" s="863">
        <f>SUM('107(b)'!C14*1.1)</f>
        <v>7.2637400000000003</v>
      </c>
      <c r="D14" s="863">
        <f>SUM('107(b)'!D14*1.1)</f>
        <v>1.6426300000000003</v>
      </c>
      <c r="E14" s="863">
        <f>SUM('107(b)'!E14*1.1)</f>
        <v>8.9063700000000008</v>
      </c>
      <c r="F14" s="863">
        <f>SUM('107(b)'!F14*1.1)</f>
        <v>5.3768000000000002</v>
      </c>
      <c r="G14" s="863">
        <f>SUM('107(b)'!G14*1.1)</f>
        <v>1.2407999999999999</v>
      </c>
      <c r="H14" s="863">
        <f>SUM('107(b)'!H14*1.1)</f>
        <v>6.6176000000000004</v>
      </c>
      <c r="I14" s="863">
        <f>SUM('107(b)'!I14*1.1)</f>
        <v>0.77539000000000002</v>
      </c>
      <c r="J14" s="863">
        <f>SUM('107(b)'!J14*1.1)</f>
        <v>2.1046300000000002</v>
      </c>
      <c r="K14" s="873">
        <f t="shared" si="0"/>
        <v>2.88002</v>
      </c>
      <c r="L14" s="874">
        <f t="shared" si="1"/>
        <v>18.40399</v>
      </c>
      <c r="M14" s="604"/>
      <c r="N14" s="863">
        <f>SUM('107(b)'!N14*1.1)</f>
        <v>0</v>
      </c>
      <c r="O14" s="863">
        <f>SUM('107(b)'!O14*1.1)</f>
        <v>0</v>
      </c>
      <c r="P14" s="863">
        <f>SUM('107(b)'!P14*1.1)</f>
        <v>0</v>
      </c>
      <c r="Q14" s="863">
        <f>SUM('107(b)'!Q14*1.1)</f>
        <v>0</v>
      </c>
      <c r="R14" s="863">
        <f>SUM('107(b)'!R14*1.1)</f>
        <v>0</v>
      </c>
      <c r="S14" s="863">
        <f>SUM('107(b)'!S14*1.1)</f>
        <v>0</v>
      </c>
      <c r="T14" s="863">
        <f>SUM('107(b)'!T14*1.1)</f>
        <v>0</v>
      </c>
      <c r="U14" s="863">
        <f>SUM('107(b)'!U14*1.1)</f>
        <v>0</v>
      </c>
      <c r="V14" s="863">
        <f>SUM('107(b)'!V14*1.1)</f>
        <v>0</v>
      </c>
      <c r="W14" s="608">
        <f t="shared" si="2"/>
        <v>0</v>
      </c>
      <c r="X14" s="601">
        <f t="shared" si="3"/>
        <v>18.40399</v>
      </c>
      <c r="Z14" s="860">
        <f t="shared" si="4"/>
        <v>48200</v>
      </c>
      <c r="AA14" s="860">
        <f t="shared" si="5"/>
        <v>10900</v>
      </c>
      <c r="AB14" s="860">
        <f t="shared" si="6"/>
        <v>61100</v>
      </c>
      <c r="AC14" s="860">
        <f t="shared" si="7"/>
        <v>14100</v>
      </c>
      <c r="AD14" s="860"/>
      <c r="AE14" s="860"/>
      <c r="AG14" s="860">
        <v>24100</v>
      </c>
      <c r="AH14" s="860">
        <v>5700</v>
      </c>
      <c r="AI14" s="860">
        <v>30800</v>
      </c>
      <c r="AJ14" s="860">
        <v>7300</v>
      </c>
      <c r="AK14" s="860"/>
      <c r="AL14" s="860"/>
    </row>
    <row r="15" spans="1:38" s="7" customFormat="1" ht="18.95" customHeight="1">
      <c r="A15" s="736">
        <v>5</v>
      </c>
      <c r="B15" s="935" t="s">
        <v>1311</v>
      </c>
      <c r="C15" s="863">
        <f>SUM('107(b)'!C15*1.1)</f>
        <v>4.7718000000000007</v>
      </c>
      <c r="D15" s="863">
        <f>SUM('107(b)'!D15*1.1)</f>
        <v>1.0791000000000002</v>
      </c>
      <c r="E15" s="863">
        <f>SUM('107(b)'!E15*1.1)</f>
        <v>5.8509000000000002</v>
      </c>
      <c r="F15" s="863">
        <f>SUM('107(b)'!F15*1.1)</f>
        <v>7.9979900000000006</v>
      </c>
      <c r="G15" s="863">
        <f>SUM('107(b)'!G15*1.1)</f>
        <v>1.8456900000000001</v>
      </c>
      <c r="H15" s="863">
        <f>SUM('107(b)'!H15*1.1)</f>
        <v>9.8436800000000009</v>
      </c>
      <c r="I15" s="863">
        <f>SUM('107(b)'!I15*1.1)</f>
        <v>2.5477100000000004</v>
      </c>
      <c r="J15" s="863">
        <f>SUM('107(b)'!J15*1.1)</f>
        <v>0.77539000000000002</v>
      </c>
      <c r="K15" s="873">
        <f t="shared" si="0"/>
        <v>3.3231000000000002</v>
      </c>
      <c r="L15" s="874">
        <f t="shared" si="1"/>
        <v>19.017679999999999</v>
      </c>
      <c r="M15" s="604"/>
      <c r="N15" s="863">
        <f>SUM('107(b)'!N15*1.1)</f>
        <v>0</v>
      </c>
      <c r="O15" s="863">
        <f>SUM('107(b)'!O15*1.1)</f>
        <v>0</v>
      </c>
      <c r="P15" s="863">
        <f>SUM('107(b)'!P15*1.1)</f>
        <v>0</v>
      </c>
      <c r="Q15" s="863">
        <f>SUM('107(b)'!Q15*1.1)</f>
        <v>0</v>
      </c>
      <c r="R15" s="863">
        <f>SUM('107(b)'!R15*1.1)</f>
        <v>0</v>
      </c>
      <c r="S15" s="863">
        <f>SUM('107(b)'!S15*1.1)</f>
        <v>0</v>
      </c>
      <c r="T15" s="863">
        <f>SUM('107(b)'!T15*1.1)</f>
        <v>0</v>
      </c>
      <c r="U15" s="863">
        <f>SUM('107(b)'!U15*1.1)</f>
        <v>0</v>
      </c>
      <c r="V15" s="863">
        <f>SUM('107(b)'!V15*1.1)</f>
        <v>0</v>
      </c>
      <c r="W15" s="608">
        <f t="shared" si="2"/>
        <v>0</v>
      </c>
      <c r="X15" s="601">
        <f t="shared" si="3"/>
        <v>19.017679999999999</v>
      </c>
      <c r="Z15" s="860">
        <f t="shared" si="4"/>
        <v>48200</v>
      </c>
      <c r="AA15" s="860">
        <f t="shared" si="5"/>
        <v>10900</v>
      </c>
      <c r="AB15" s="860">
        <f t="shared" si="6"/>
        <v>61100</v>
      </c>
      <c r="AC15" s="860">
        <f t="shared" si="7"/>
        <v>14100</v>
      </c>
      <c r="AD15" s="860"/>
      <c r="AE15" s="860"/>
      <c r="AG15" s="860">
        <v>24100</v>
      </c>
      <c r="AH15" s="860">
        <v>5700</v>
      </c>
      <c r="AI15" s="860">
        <v>30800</v>
      </c>
      <c r="AJ15" s="860">
        <v>7300</v>
      </c>
      <c r="AK15" s="860"/>
      <c r="AL15" s="860"/>
    </row>
    <row r="16" spans="1:38" s="7" customFormat="1" ht="18.95" customHeight="1">
      <c r="A16" s="736">
        <v>6</v>
      </c>
      <c r="B16" s="935" t="s">
        <v>403</v>
      </c>
      <c r="C16" s="863">
        <f>SUM('107(b)'!C16*1.1)</f>
        <v>0</v>
      </c>
      <c r="D16" s="863">
        <f>SUM('107(b)'!D16*1.1)</f>
        <v>0</v>
      </c>
      <c r="E16" s="863">
        <f>SUM('107(b)'!E16*1.1)</f>
        <v>0</v>
      </c>
      <c r="F16" s="863">
        <f>SUM('107(b)'!F16*1.1)</f>
        <v>1.9490900000000002</v>
      </c>
      <c r="G16" s="863">
        <f>SUM('107(b)'!G16*1.1)</f>
        <v>0.44979000000000002</v>
      </c>
      <c r="H16" s="863">
        <f>SUM('107(b)'!H16*1.1)</f>
        <v>2.3988800000000001</v>
      </c>
      <c r="I16" s="863">
        <f>SUM('107(b)'!I16*1.1)</f>
        <v>3.9877200000000004</v>
      </c>
      <c r="J16" s="863">
        <f>SUM('107(b)'!J16*1.1)</f>
        <v>2.1046300000000002</v>
      </c>
      <c r="K16" s="873">
        <f t="shared" si="0"/>
        <v>6.0923500000000006</v>
      </c>
      <c r="L16" s="874">
        <f t="shared" si="1"/>
        <v>8.4912300000000016</v>
      </c>
      <c r="M16" s="604"/>
      <c r="N16" s="863">
        <f>SUM('107(b)'!N16*1.1)</f>
        <v>0</v>
      </c>
      <c r="O16" s="863">
        <f>SUM('107(b)'!O16*1.1)</f>
        <v>0</v>
      </c>
      <c r="P16" s="863">
        <f>SUM('107(b)'!P16*1.1)</f>
        <v>0</v>
      </c>
      <c r="Q16" s="863">
        <f>SUM('107(b)'!Q16*1.1)</f>
        <v>0</v>
      </c>
      <c r="R16" s="863">
        <f>SUM('107(b)'!R16*1.1)</f>
        <v>0</v>
      </c>
      <c r="S16" s="863">
        <f>SUM('107(b)'!S16*1.1)</f>
        <v>0</v>
      </c>
      <c r="T16" s="863">
        <f>SUM('107(b)'!T16*1.1)</f>
        <v>0</v>
      </c>
      <c r="U16" s="863">
        <f>SUM('107(b)'!U16*1.1)</f>
        <v>0</v>
      </c>
      <c r="V16" s="863">
        <f>SUM('107(b)'!V16*1.1)</f>
        <v>0</v>
      </c>
      <c r="W16" s="608">
        <f t="shared" si="2"/>
        <v>0</v>
      </c>
      <c r="X16" s="601">
        <f t="shared" si="3"/>
        <v>8.4912300000000016</v>
      </c>
      <c r="Z16" s="860">
        <f t="shared" si="4"/>
        <v>48200</v>
      </c>
      <c r="AA16" s="860">
        <f t="shared" si="5"/>
        <v>10900</v>
      </c>
      <c r="AB16" s="860">
        <f t="shared" si="6"/>
        <v>61100</v>
      </c>
      <c r="AC16" s="860">
        <f t="shared" si="7"/>
        <v>14100</v>
      </c>
      <c r="AD16" s="860"/>
      <c r="AE16" s="860"/>
      <c r="AG16" s="860">
        <v>24100</v>
      </c>
      <c r="AH16" s="860">
        <v>5700</v>
      </c>
      <c r="AI16" s="860">
        <v>30800</v>
      </c>
      <c r="AJ16" s="860">
        <v>7300</v>
      </c>
      <c r="AK16" s="860"/>
      <c r="AL16" s="860"/>
    </row>
    <row r="17" spans="1:38" s="7" customFormat="1" ht="18.95" customHeight="1">
      <c r="A17" s="736">
        <v>7</v>
      </c>
      <c r="B17" s="935" t="s">
        <v>421</v>
      </c>
      <c r="C17" s="863">
        <f>SUM('107(b)'!C17*1.1)</f>
        <v>0</v>
      </c>
      <c r="D17" s="863">
        <f>SUM('107(b)'!D17*1.1)</f>
        <v>0</v>
      </c>
      <c r="E17" s="863">
        <f>SUM('107(b)'!E17*1.1)</f>
        <v>0</v>
      </c>
      <c r="F17" s="863">
        <f>SUM('107(b)'!F17*1.1)</f>
        <v>0.24508000000000002</v>
      </c>
      <c r="G17" s="863">
        <f>SUM('107(b)'!G17*1.1)</f>
        <v>6.2040000000000005E-2</v>
      </c>
      <c r="H17" s="863">
        <f>SUM('107(b)'!H17*1.1)</f>
        <v>0.30712</v>
      </c>
      <c r="I17" s="863">
        <f>SUM('107(b)'!I17*1.1)</f>
        <v>0.66461999999999999</v>
      </c>
      <c r="J17" s="863">
        <f>SUM('107(b)'!J17*1.1)</f>
        <v>0.44308000000000003</v>
      </c>
      <c r="K17" s="873">
        <f t="shared" si="0"/>
        <v>1.1076999999999999</v>
      </c>
      <c r="L17" s="874">
        <f t="shared" si="1"/>
        <v>1.41482</v>
      </c>
      <c r="M17" s="604"/>
      <c r="N17" s="863">
        <f>SUM('107(b)'!N17*1.1)</f>
        <v>0</v>
      </c>
      <c r="O17" s="863">
        <f>SUM('107(b)'!O17*1.1)</f>
        <v>0</v>
      </c>
      <c r="P17" s="863">
        <f>SUM('107(b)'!P17*1.1)</f>
        <v>0</v>
      </c>
      <c r="Q17" s="863">
        <f>SUM('107(b)'!Q17*1.1)</f>
        <v>0</v>
      </c>
      <c r="R17" s="863">
        <f>SUM('107(b)'!R17*1.1)</f>
        <v>0</v>
      </c>
      <c r="S17" s="863">
        <f>SUM('107(b)'!S17*1.1)</f>
        <v>0</v>
      </c>
      <c r="T17" s="863">
        <f>SUM('107(b)'!T17*1.1)</f>
        <v>0</v>
      </c>
      <c r="U17" s="863">
        <f>SUM('107(b)'!U17*1.1)</f>
        <v>0</v>
      </c>
      <c r="V17" s="863">
        <f>SUM('107(b)'!V17*1.1)</f>
        <v>0</v>
      </c>
      <c r="W17" s="608">
        <f t="shared" si="2"/>
        <v>0</v>
      </c>
      <c r="X17" s="601">
        <f t="shared" si="3"/>
        <v>1.41482</v>
      </c>
      <c r="Z17" s="860">
        <f t="shared" si="4"/>
        <v>48200</v>
      </c>
      <c r="AA17" s="860">
        <f t="shared" si="5"/>
        <v>10900</v>
      </c>
      <c r="AB17" s="860">
        <f t="shared" si="6"/>
        <v>55700</v>
      </c>
      <c r="AC17" s="860">
        <f t="shared" si="7"/>
        <v>14100</v>
      </c>
      <c r="AD17" s="860"/>
      <c r="AE17" s="860"/>
      <c r="AG17" s="860">
        <v>24100</v>
      </c>
      <c r="AH17" s="860">
        <v>5700</v>
      </c>
      <c r="AI17" s="860">
        <v>28100</v>
      </c>
      <c r="AJ17" s="860">
        <v>7300</v>
      </c>
      <c r="AK17" s="860"/>
      <c r="AL17" s="860"/>
    </row>
    <row r="18" spans="1:38" s="7" customFormat="1" ht="18.95" customHeight="1">
      <c r="A18" s="736">
        <v>8</v>
      </c>
      <c r="B18" s="935" t="s">
        <v>419</v>
      </c>
      <c r="C18" s="863">
        <f>SUM('107(b)'!C18*1.1)</f>
        <v>0</v>
      </c>
      <c r="D18" s="863">
        <f>SUM('107(b)'!D18*1.1)</f>
        <v>0</v>
      </c>
      <c r="E18" s="863">
        <f>SUM('107(b)'!E18*1.1)</f>
        <v>0</v>
      </c>
      <c r="F18" s="863">
        <f>SUM('107(b)'!F18*1.1)</f>
        <v>1.8818800000000002</v>
      </c>
      <c r="G18" s="863">
        <f>SUM('107(b)'!G18*1.1)</f>
        <v>0.43428</v>
      </c>
      <c r="H18" s="863">
        <f>SUM('107(b)'!H18*1.1)</f>
        <v>2.31616</v>
      </c>
      <c r="I18" s="863">
        <f>SUM('107(b)'!I18*1.1)</f>
        <v>2.5477100000000004</v>
      </c>
      <c r="J18" s="863">
        <f>SUM('107(b)'!J18*1.1)</f>
        <v>3.4338700000000006</v>
      </c>
      <c r="K18" s="873">
        <f t="shared" si="0"/>
        <v>5.981580000000001</v>
      </c>
      <c r="L18" s="874">
        <f t="shared" si="1"/>
        <v>8.297740000000001</v>
      </c>
      <c r="M18" s="604"/>
      <c r="N18" s="863">
        <f>SUM('107(b)'!N18*1.1)</f>
        <v>0</v>
      </c>
      <c r="O18" s="863">
        <f>SUM('107(b)'!O18*1.1)</f>
        <v>0</v>
      </c>
      <c r="P18" s="863">
        <f>SUM('107(b)'!P18*1.1)</f>
        <v>0</v>
      </c>
      <c r="Q18" s="863">
        <f>SUM('107(b)'!Q18*1.1)</f>
        <v>0</v>
      </c>
      <c r="R18" s="863">
        <f>SUM('107(b)'!R18*1.1)</f>
        <v>0</v>
      </c>
      <c r="S18" s="863">
        <f>SUM('107(b)'!S18*1.1)</f>
        <v>0</v>
      </c>
      <c r="T18" s="863">
        <f>SUM('107(b)'!T18*1.1)</f>
        <v>0</v>
      </c>
      <c r="U18" s="863">
        <f>SUM('107(b)'!U18*1.1)</f>
        <v>0</v>
      </c>
      <c r="V18" s="863">
        <f>SUM('107(b)'!V18*1.1)</f>
        <v>0</v>
      </c>
      <c r="W18" s="608">
        <f t="shared" si="2"/>
        <v>0</v>
      </c>
      <c r="X18" s="601">
        <f t="shared" si="3"/>
        <v>8.297740000000001</v>
      </c>
      <c r="Z18" s="860">
        <f t="shared" si="4"/>
        <v>48200</v>
      </c>
      <c r="AA18" s="860">
        <f t="shared" si="5"/>
        <v>10900</v>
      </c>
      <c r="AB18" s="860">
        <f t="shared" si="6"/>
        <v>61100</v>
      </c>
      <c r="AC18" s="860">
        <f t="shared" si="7"/>
        <v>14100</v>
      </c>
      <c r="AD18" s="860"/>
      <c r="AE18" s="860"/>
      <c r="AG18" s="860">
        <v>24100</v>
      </c>
      <c r="AH18" s="860">
        <v>5700</v>
      </c>
      <c r="AI18" s="860">
        <v>30800</v>
      </c>
      <c r="AJ18" s="860">
        <v>7300</v>
      </c>
      <c r="AK18" s="860"/>
      <c r="AL18" s="860"/>
    </row>
    <row r="19" spans="1:38" s="7" customFormat="1" ht="18.95" customHeight="1">
      <c r="A19" s="736">
        <v>9</v>
      </c>
      <c r="B19" s="935" t="s">
        <v>1407</v>
      </c>
      <c r="C19" s="863">
        <f>SUM('107(b)'!C19*1.1)</f>
        <v>0</v>
      </c>
      <c r="D19" s="863">
        <f>SUM('107(b)'!D19*1.1)</f>
        <v>0</v>
      </c>
      <c r="E19" s="863">
        <f>SUM('107(b)'!E19*1.1)</f>
        <v>0</v>
      </c>
      <c r="F19" s="863">
        <f>SUM('107(b)'!F19*1.1)</f>
        <v>0</v>
      </c>
      <c r="G19" s="863">
        <f>SUM('107(b)'!G19*1.1)</f>
        <v>0</v>
      </c>
      <c r="H19" s="863">
        <f>SUM('107(b)'!H19*1.1)</f>
        <v>0</v>
      </c>
      <c r="I19" s="863">
        <f>SUM('107(b)'!I19*1.1)</f>
        <v>2.2153999999999998</v>
      </c>
      <c r="J19" s="863">
        <f>SUM('107(b)'!J19*1.1)</f>
        <v>0.77539000000000002</v>
      </c>
      <c r="K19" s="873">
        <f t="shared" si="0"/>
        <v>2.9907899999999996</v>
      </c>
      <c r="L19" s="874">
        <f t="shared" si="1"/>
        <v>2.9907899999999996</v>
      </c>
      <c r="M19" s="604"/>
      <c r="N19" s="863">
        <f>SUM('107(b)'!N19*1.1)</f>
        <v>0</v>
      </c>
      <c r="O19" s="863">
        <f>SUM('107(b)'!O19*1.1)</f>
        <v>0</v>
      </c>
      <c r="P19" s="863">
        <f>SUM('107(b)'!P19*1.1)</f>
        <v>0</v>
      </c>
      <c r="Q19" s="863">
        <f>SUM('107(b)'!Q19*1.1)</f>
        <v>0</v>
      </c>
      <c r="R19" s="863">
        <f>SUM('107(b)'!R19*1.1)</f>
        <v>0</v>
      </c>
      <c r="S19" s="863">
        <f>SUM('107(b)'!S19*1.1)</f>
        <v>0</v>
      </c>
      <c r="T19" s="863">
        <f>SUM('107(b)'!T19*1.1)</f>
        <v>0</v>
      </c>
      <c r="U19" s="863">
        <f>SUM('107(b)'!U19*1.1)</f>
        <v>0</v>
      </c>
      <c r="V19" s="863">
        <f>SUM('107(b)'!V19*1.1)</f>
        <v>0</v>
      </c>
      <c r="W19" s="608">
        <f t="shared" si="2"/>
        <v>0</v>
      </c>
      <c r="X19" s="601">
        <f t="shared" si="3"/>
        <v>2.9907899999999996</v>
      </c>
      <c r="Z19" s="860">
        <f t="shared" si="4"/>
        <v>48200</v>
      </c>
      <c r="AA19" s="860">
        <f t="shared" si="5"/>
        <v>10900</v>
      </c>
      <c r="AB19" s="860">
        <f t="shared" si="6"/>
        <v>61100</v>
      </c>
      <c r="AC19" s="860">
        <f t="shared" si="7"/>
        <v>14100</v>
      </c>
      <c r="AD19" s="860"/>
      <c r="AE19" s="860"/>
      <c r="AG19" s="860">
        <v>24100</v>
      </c>
      <c r="AH19" s="860">
        <v>5700</v>
      </c>
      <c r="AI19" s="860">
        <v>30800</v>
      </c>
      <c r="AJ19" s="860">
        <v>7300</v>
      </c>
      <c r="AK19" s="860"/>
      <c r="AL19" s="860"/>
    </row>
    <row r="20" spans="1:38" s="7" customFormat="1" ht="18.95" customHeight="1">
      <c r="A20" s="736">
        <v>10</v>
      </c>
      <c r="B20" s="935" t="s">
        <v>394</v>
      </c>
      <c r="C20" s="863">
        <f>SUM('107(b)'!C20*1.1)</f>
        <v>0</v>
      </c>
      <c r="D20" s="863">
        <f>SUM('107(b)'!D20*1.1)</f>
        <v>0</v>
      </c>
      <c r="E20" s="863">
        <f>SUM('107(b)'!E20*1.1)</f>
        <v>0</v>
      </c>
      <c r="F20" s="863">
        <f>SUM('107(b)'!F20*1.1)</f>
        <v>0</v>
      </c>
      <c r="G20" s="863">
        <f>SUM('107(b)'!G20*1.1)</f>
        <v>0</v>
      </c>
      <c r="H20" s="863">
        <f>SUM('107(b)'!H20*1.1)</f>
        <v>0</v>
      </c>
      <c r="I20" s="863">
        <f>SUM('107(b)'!I20*1.1)</f>
        <v>0</v>
      </c>
      <c r="J20" s="863">
        <f>SUM('107(b)'!J20*1.1)</f>
        <v>0</v>
      </c>
      <c r="K20" s="873">
        <f t="shared" si="0"/>
        <v>0</v>
      </c>
      <c r="L20" s="874">
        <f t="shared" si="1"/>
        <v>0</v>
      </c>
      <c r="M20" s="604"/>
      <c r="N20" s="863">
        <f>SUM('107(b)'!N20*1.1)</f>
        <v>0</v>
      </c>
      <c r="O20" s="863">
        <f>SUM('107(b)'!O20*1.1)</f>
        <v>0</v>
      </c>
      <c r="P20" s="863">
        <f>SUM('107(b)'!P20*1.1)</f>
        <v>0</v>
      </c>
      <c r="Q20" s="863">
        <f>SUM('107(b)'!Q20*1.1)</f>
        <v>0</v>
      </c>
      <c r="R20" s="863">
        <f>SUM('107(b)'!R20*1.1)</f>
        <v>0</v>
      </c>
      <c r="S20" s="863">
        <f>SUM('107(b)'!S20*1.1)</f>
        <v>0</v>
      </c>
      <c r="T20" s="863">
        <f>SUM('107(b)'!T20*1.1)</f>
        <v>0</v>
      </c>
      <c r="U20" s="863">
        <f>SUM('107(b)'!U20*1.1)</f>
        <v>0</v>
      </c>
      <c r="V20" s="863">
        <f>SUM('107(b)'!V20*1.1)</f>
        <v>0</v>
      </c>
      <c r="W20" s="608">
        <f t="shared" si="2"/>
        <v>0</v>
      </c>
      <c r="X20" s="601">
        <f t="shared" si="3"/>
        <v>0</v>
      </c>
      <c r="Z20" s="860">
        <f t="shared" si="4"/>
        <v>48200</v>
      </c>
      <c r="AA20" s="860">
        <f t="shared" si="5"/>
        <v>10900</v>
      </c>
      <c r="AB20" s="860">
        <f t="shared" si="6"/>
        <v>61100</v>
      </c>
      <c r="AC20" s="860">
        <f t="shared" si="7"/>
        <v>14100</v>
      </c>
      <c r="AD20" s="860"/>
      <c r="AE20" s="860"/>
      <c r="AG20" s="860">
        <v>24100</v>
      </c>
      <c r="AH20" s="860">
        <v>5700</v>
      </c>
      <c r="AI20" s="860">
        <v>30800</v>
      </c>
      <c r="AJ20" s="860">
        <v>7300</v>
      </c>
      <c r="AK20" s="860"/>
      <c r="AL20" s="860"/>
    </row>
    <row r="21" spans="1:38" ht="20.100000000000001" customHeight="1">
      <c r="A21" s="1583" t="s">
        <v>752</v>
      </c>
      <c r="B21" s="1583"/>
      <c r="C21" s="865">
        <f t="shared" ref="C21:L21" si="8">SUM(C11:C20)</f>
        <v>28.636739999999996</v>
      </c>
      <c r="D21" s="865">
        <f t="shared" si="8"/>
        <v>5.6592800000000008</v>
      </c>
      <c r="E21" s="865">
        <f t="shared" si="8"/>
        <v>34.296020000000006</v>
      </c>
      <c r="F21" s="865">
        <f t="shared" si="8"/>
        <v>26.791930000000004</v>
      </c>
      <c r="G21" s="865">
        <f t="shared" si="8"/>
        <v>5.9093099999999996</v>
      </c>
      <c r="H21" s="865">
        <f t="shared" si="8"/>
        <v>32.701239999999999</v>
      </c>
      <c r="I21" s="867">
        <f t="shared" si="8"/>
        <v>17.944739999999999</v>
      </c>
      <c r="J21" s="867">
        <f t="shared" si="8"/>
        <v>11.852390000000002</v>
      </c>
      <c r="K21" s="868">
        <f t="shared" si="8"/>
        <v>29.797130000000003</v>
      </c>
      <c r="L21" s="865">
        <f t="shared" si="8"/>
        <v>96.794390000000021</v>
      </c>
      <c r="M21" s="604"/>
      <c r="N21" s="864">
        <f t="shared" ref="N21:W21" si="9">SUM(N11:N20)</f>
        <v>15.577650000000002</v>
      </c>
      <c r="O21" s="560">
        <f t="shared" si="9"/>
        <v>0</v>
      </c>
      <c r="P21" s="864">
        <f t="shared" si="9"/>
        <v>15.577650000000002</v>
      </c>
      <c r="Q21" s="560">
        <f t="shared" si="9"/>
        <v>0</v>
      </c>
      <c r="R21" s="560">
        <f t="shared" si="9"/>
        <v>0</v>
      </c>
      <c r="S21" s="560">
        <f t="shared" si="9"/>
        <v>0</v>
      </c>
      <c r="T21" s="560">
        <f t="shared" si="9"/>
        <v>0</v>
      </c>
      <c r="U21" s="560">
        <f t="shared" si="9"/>
        <v>0</v>
      </c>
      <c r="V21" s="575">
        <f t="shared" si="9"/>
        <v>0</v>
      </c>
      <c r="W21" s="560">
        <f t="shared" si="9"/>
        <v>15.577650000000002</v>
      </c>
      <c r="X21" s="601">
        <f t="shared" si="3"/>
        <v>112.37204000000003</v>
      </c>
      <c r="AG21" s="857"/>
      <c r="AH21" s="857"/>
      <c r="AI21" s="857"/>
      <c r="AJ21" s="857"/>
      <c r="AK21" s="857"/>
      <c r="AL21" s="857"/>
    </row>
    <row r="22" spans="1:38" ht="15" customHeight="1">
      <c r="A22" s="1581" t="s">
        <v>145</v>
      </c>
      <c r="B22" s="1581"/>
      <c r="C22" s="1581"/>
      <c r="D22" s="1581"/>
      <c r="E22" s="1581"/>
      <c r="F22" s="1581"/>
      <c r="G22" s="1581"/>
      <c r="H22" s="1581"/>
      <c r="I22" s="1581"/>
      <c r="J22" s="1581"/>
      <c r="K22" s="1581"/>
      <c r="L22" s="1581"/>
      <c r="M22" s="604"/>
      <c r="N22" s="609"/>
      <c r="O22" s="609"/>
      <c r="P22" s="609"/>
      <c r="Q22" s="609"/>
      <c r="R22" s="609"/>
      <c r="S22" s="609"/>
      <c r="T22" s="609"/>
      <c r="U22" s="609"/>
      <c r="V22" s="609"/>
      <c r="W22" s="609"/>
      <c r="X22" s="600"/>
      <c r="AG22" s="857"/>
      <c r="AH22" s="857"/>
      <c r="AI22" s="857"/>
      <c r="AJ22" s="857"/>
      <c r="AK22" s="857"/>
      <c r="AL22" s="857"/>
    </row>
    <row r="23" spans="1:38" s="7" customFormat="1" ht="18.95" customHeight="1">
      <c r="A23" s="240">
        <v>1</v>
      </c>
      <c r="B23" s="855" t="s">
        <v>1315</v>
      </c>
      <c r="C23" s="863">
        <f>SUM('107(b)'!C23*1.1)</f>
        <v>9.3224999999999998</v>
      </c>
      <c r="D23" s="863">
        <f>SUM('107(b)'!D23*1.1)</f>
        <v>1.7526300000000001</v>
      </c>
      <c r="E23" s="863">
        <f>SUM('107(b)'!E23*1.1)</f>
        <v>11.07513</v>
      </c>
      <c r="F23" s="863">
        <f>SUM('107(b)'!F23*1.1)</f>
        <v>0</v>
      </c>
      <c r="G23" s="863">
        <f>SUM('107(b)'!G23*1.1)</f>
        <v>0</v>
      </c>
      <c r="H23" s="863">
        <f>SUM('107(b)'!H23*1.1)</f>
        <v>0</v>
      </c>
      <c r="I23" s="863">
        <f>SUM('107(b)'!I23*1.1)</f>
        <v>1.32924</v>
      </c>
      <c r="J23" s="863">
        <f>SUM('107(b)'!J23*1.1)</f>
        <v>1.1076999999999999</v>
      </c>
      <c r="K23" s="863">
        <f>SUM('107(b)'!K23*1.1)</f>
        <v>2.4369399999999999</v>
      </c>
      <c r="L23" s="874">
        <f>E23+K23+H23</f>
        <v>13.51207</v>
      </c>
      <c r="M23" s="604"/>
      <c r="N23" s="863">
        <f>SUM('107(b)'!N23*1.1)</f>
        <v>0</v>
      </c>
      <c r="O23" s="863">
        <f>SUM('107(b)'!O23*1.1)</f>
        <v>0</v>
      </c>
      <c r="P23" s="863">
        <f>SUM('107(b)'!P23*1.1)</f>
        <v>0</v>
      </c>
      <c r="Q23" s="863">
        <f>SUM('107(b)'!Q23*1.1)</f>
        <v>0</v>
      </c>
      <c r="R23" s="863">
        <f>SUM('107(b)'!R23*1.1)</f>
        <v>0</v>
      </c>
      <c r="S23" s="863">
        <f>SUM('107(b)'!S23*1.1)</f>
        <v>0</v>
      </c>
      <c r="T23" s="863">
        <f>SUM('107(b)'!T23*1.1)</f>
        <v>0</v>
      </c>
      <c r="U23" s="863">
        <f>SUM('107(b)'!U23*1.1)</f>
        <v>0</v>
      </c>
      <c r="V23" s="863">
        <f>SUM('107(b)'!V23*1.1)</f>
        <v>0</v>
      </c>
      <c r="W23" s="608">
        <f>P23+V23+S23</f>
        <v>0</v>
      </c>
      <c r="X23" s="601">
        <f t="shared" si="3"/>
        <v>13.51207</v>
      </c>
      <c r="Z23" s="860">
        <f t="shared" ref="Z23:Z35" si="10">SUM(AG23*2)</f>
        <v>75000</v>
      </c>
      <c r="AA23" s="860">
        <f t="shared" ref="AA23:AA35" si="11">SUM(AH23*2)-500</f>
        <v>14100</v>
      </c>
      <c r="AB23" s="860"/>
      <c r="AC23" s="860"/>
      <c r="AD23" s="860"/>
      <c r="AE23" s="860"/>
      <c r="AG23" s="860">
        <v>37500</v>
      </c>
      <c r="AH23" s="860">
        <v>7300</v>
      </c>
      <c r="AI23" s="860"/>
      <c r="AJ23" s="860"/>
      <c r="AK23" s="860"/>
      <c r="AL23" s="860"/>
    </row>
    <row r="24" spans="1:38" s="7" customFormat="1" ht="18">
      <c r="A24" s="572">
        <v>2</v>
      </c>
      <c r="B24" s="855" t="s">
        <v>383</v>
      </c>
      <c r="C24" s="863">
        <f>SUM('107(b)'!C24*1.1)</f>
        <v>14.602500000000001</v>
      </c>
      <c r="D24" s="863">
        <f>SUM('107(b)'!D24*1.1)</f>
        <v>2.6977500000000005</v>
      </c>
      <c r="E24" s="863">
        <f>SUM('107(b)'!E24*1.1)</f>
        <v>17.300250000000002</v>
      </c>
      <c r="F24" s="863">
        <f>SUM('107(b)'!F24*1.1)</f>
        <v>9.9159500000000005</v>
      </c>
      <c r="G24" s="863">
        <f>SUM('107(b)'!G24*1.1)</f>
        <v>1.8767100000000001</v>
      </c>
      <c r="H24" s="863">
        <f>SUM('107(b)'!H24*1.1)</f>
        <v>11.79266</v>
      </c>
      <c r="I24" s="863">
        <f>SUM('107(b)'!I24*1.1)</f>
        <v>2.4369399999999999</v>
      </c>
      <c r="J24" s="863">
        <f>SUM('107(b)'!J24*1.1)</f>
        <v>1.32924</v>
      </c>
      <c r="K24" s="863">
        <f>SUM('107(b)'!K24*1.1)</f>
        <v>3.7661800000000003</v>
      </c>
      <c r="L24" s="874">
        <f t="shared" ref="L24:L35" si="12">E24+K24+H24</f>
        <v>32.859090000000002</v>
      </c>
      <c r="M24" s="604"/>
      <c r="N24" s="863">
        <f>SUM('107(b)'!N24*1.1)</f>
        <v>20.882510000000003</v>
      </c>
      <c r="O24" s="863">
        <f>SUM('107(b)'!O24*1.1)</f>
        <v>0</v>
      </c>
      <c r="P24" s="863">
        <f>SUM('107(b)'!P24*1.1)</f>
        <v>20.882510000000003</v>
      </c>
      <c r="Q24" s="863">
        <f>SUM('107(b)'!Q24*1.1)</f>
        <v>0</v>
      </c>
      <c r="R24" s="863">
        <f>SUM('107(b)'!R24*1.1)</f>
        <v>0</v>
      </c>
      <c r="S24" s="863">
        <f>SUM('107(b)'!S24*1.1)</f>
        <v>0</v>
      </c>
      <c r="T24" s="863">
        <f>SUM('107(b)'!T24*1.1)</f>
        <v>0</v>
      </c>
      <c r="U24" s="863">
        <f>SUM('107(b)'!U24*1.1)</f>
        <v>0</v>
      </c>
      <c r="V24" s="863">
        <f>SUM('107(b)'!V24*1.1)</f>
        <v>0</v>
      </c>
      <c r="W24" s="608">
        <f t="shared" ref="W24:W35" si="13">P24+V24+S24</f>
        <v>20.882510000000003</v>
      </c>
      <c r="X24" s="601">
        <f t="shared" si="3"/>
        <v>53.741600000000005</v>
      </c>
      <c r="Z24" s="860">
        <f t="shared" si="10"/>
        <v>59000</v>
      </c>
      <c r="AA24" s="860">
        <f t="shared" si="11"/>
        <v>10900</v>
      </c>
      <c r="AB24" s="860">
        <f t="shared" ref="AB24:AB34" si="14">SUM(AI24*2)-500</f>
        <v>74500</v>
      </c>
      <c r="AC24" s="860">
        <f t="shared" ref="AC24:AC34" si="15">SUM(AJ24*2)-500</f>
        <v>14100</v>
      </c>
      <c r="AD24" s="860"/>
      <c r="AE24" s="860"/>
      <c r="AG24" s="860">
        <v>29500</v>
      </c>
      <c r="AH24" s="860">
        <v>5700</v>
      </c>
      <c r="AI24" s="860">
        <v>37500</v>
      </c>
      <c r="AJ24" s="860">
        <v>7300</v>
      </c>
      <c r="AK24" s="860"/>
      <c r="AL24" s="860"/>
    </row>
    <row r="25" spans="1:38" s="7" customFormat="1" ht="18.95" customHeight="1">
      <c r="A25" s="240">
        <v>3</v>
      </c>
      <c r="B25" s="855" t="s">
        <v>379</v>
      </c>
      <c r="C25" s="863">
        <f>SUM('107(b)'!C25*1.1)</f>
        <v>4.4131999999999998</v>
      </c>
      <c r="D25" s="863">
        <f>SUM('107(b)'!D25*1.1)</f>
        <v>0.81532000000000004</v>
      </c>
      <c r="E25" s="863">
        <f>SUM('107(b)'!E25*1.1)</f>
        <v>5.2285199999999996</v>
      </c>
      <c r="F25" s="863">
        <f>SUM('107(b)'!F25*1.1)</f>
        <v>1.1704000000000001</v>
      </c>
      <c r="G25" s="863">
        <f>SUM('107(b)'!G25*1.1)</f>
        <v>0.24816000000000002</v>
      </c>
      <c r="H25" s="863">
        <f>SUM('107(b)'!H25*1.1)</f>
        <v>1.4185600000000003</v>
      </c>
      <c r="I25" s="863">
        <f>SUM('107(b)'!I25*1.1)</f>
        <v>0.88616000000000006</v>
      </c>
      <c r="J25" s="863">
        <f>SUM('107(b)'!J25*1.1)</f>
        <v>0</v>
      </c>
      <c r="K25" s="863">
        <f>SUM('107(b)'!K25*1.1)</f>
        <v>0.88616000000000006</v>
      </c>
      <c r="L25" s="874">
        <f t="shared" si="12"/>
        <v>7.5332400000000002</v>
      </c>
      <c r="M25" s="604"/>
      <c r="N25" s="863">
        <f>SUM('107(b)'!N25*1.1)</f>
        <v>0.45595000000000002</v>
      </c>
      <c r="O25" s="863">
        <f>SUM('107(b)'!O25*1.1)</f>
        <v>0</v>
      </c>
      <c r="P25" s="863">
        <f>SUM('107(b)'!P25*1.1)</f>
        <v>0.45595000000000002</v>
      </c>
      <c r="Q25" s="863">
        <f>SUM('107(b)'!Q25*1.1)</f>
        <v>0</v>
      </c>
      <c r="R25" s="863">
        <f>SUM('107(b)'!R25*1.1)</f>
        <v>0</v>
      </c>
      <c r="S25" s="863">
        <f>SUM('107(b)'!S25*1.1)</f>
        <v>0</v>
      </c>
      <c r="T25" s="863">
        <f>SUM('107(b)'!T25*1.1)</f>
        <v>0</v>
      </c>
      <c r="U25" s="863">
        <f>SUM('107(b)'!U25*1.1)</f>
        <v>0</v>
      </c>
      <c r="V25" s="863">
        <f>SUM('107(b)'!V25*1.1)</f>
        <v>0</v>
      </c>
      <c r="W25" s="608">
        <f t="shared" si="13"/>
        <v>0.45595000000000002</v>
      </c>
      <c r="X25" s="601">
        <f t="shared" si="3"/>
        <v>7.9891899999999998</v>
      </c>
      <c r="Z25" s="860">
        <f t="shared" si="10"/>
        <v>59000</v>
      </c>
      <c r="AA25" s="860">
        <f t="shared" si="11"/>
        <v>10900</v>
      </c>
      <c r="AB25" s="860">
        <f t="shared" si="14"/>
        <v>66500</v>
      </c>
      <c r="AC25" s="860">
        <f t="shared" si="15"/>
        <v>14100</v>
      </c>
      <c r="AD25" s="860"/>
      <c r="AE25" s="860"/>
      <c r="AG25" s="860">
        <v>29500</v>
      </c>
      <c r="AH25" s="860">
        <v>5700</v>
      </c>
      <c r="AI25" s="860">
        <v>33500</v>
      </c>
      <c r="AJ25" s="860">
        <v>7300</v>
      </c>
      <c r="AK25" s="860"/>
      <c r="AL25" s="860"/>
    </row>
    <row r="26" spans="1:38" s="7" customFormat="1" ht="18.95" customHeight="1">
      <c r="A26" s="572">
        <v>4</v>
      </c>
      <c r="B26" s="855" t="s">
        <v>390</v>
      </c>
      <c r="C26" s="863">
        <f>SUM('107(b)'!C26*1.1)</f>
        <v>12.67112</v>
      </c>
      <c r="D26" s="863">
        <f>SUM('107(b)'!D26*1.1)</f>
        <v>2.2421300000000004</v>
      </c>
      <c r="E26" s="863">
        <f>SUM('107(b)'!E26*1.1)</f>
        <v>14.91325</v>
      </c>
      <c r="F26" s="863">
        <f>SUM('107(b)'!F26*1.1)</f>
        <v>10.817400000000001</v>
      </c>
      <c r="G26" s="863">
        <f>SUM('107(b)'!G26*1.1)</f>
        <v>2.04732</v>
      </c>
      <c r="H26" s="863">
        <f>SUM('107(b)'!H26*1.1)</f>
        <v>12.86472</v>
      </c>
      <c r="I26" s="863">
        <f>SUM('107(b)'!I26*1.1)</f>
        <v>9.9693000000000023</v>
      </c>
      <c r="J26" s="863">
        <f>SUM('107(b)'!J26*1.1)</f>
        <v>0</v>
      </c>
      <c r="K26" s="863">
        <f>SUM('107(b)'!K26*1.1)</f>
        <v>9.9693000000000023</v>
      </c>
      <c r="L26" s="874">
        <f t="shared" si="12"/>
        <v>37.74727</v>
      </c>
      <c r="M26" s="604"/>
      <c r="N26" s="863">
        <f>SUM('107(b)'!N26*1.1)</f>
        <v>26.992240000000002</v>
      </c>
      <c r="O26" s="863">
        <f>SUM('107(b)'!O26*1.1)</f>
        <v>0</v>
      </c>
      <c r="P26" s="863">
        <f>SUM('107(b)'!P26*1.1)</f>
        <v>26.992240000000002</v>
      </c>
      <c r="Q26" s="863">
        <f>SUM('107(b)'!Q26*1.1)</f>
        <v>6.4548000000000005</v>
      </c>
      <c r="R26" s="863">
        <f>SUM('107(b)'!R26*1.1)</f>
        <v>0</v>
      </c>
      <c r="S26" s="863">
        <f>SUM('107(b)'!S26*1.1)</f>
        <v>6.4548000000000005</v>
      </c>
      <c r="T26" s="863">
        <f>SUM('107(b)'!T26*1.1)</f>
        <v>0</v>
      </c>
      <c r="U26" s="863">
        <f>SUM('107(b)'!U26*1.1)</f>
        <v>0</v>
      </c>
      <c r="V26" s="863">
        <f>SUM('107(b)'!V26*1.1)</f>
        <v>0</v>
      </c>
      <c r="W26" s="608">
        <f t="shared" si="13"/>
        <v>33.447040000000001</v>
      </c>
      <c r="X26" s="601">
        <f t="shared" si="3"/>
        <v>71.194310000000002</v>
      </c>
      <c r="Z26" s="860">
        <f t="shared" si="10"/>
        <v>61600</v>
      </c>
      <c r="AA26" s="860">
        <f t="shared" si="11"/>
        <v>10900</v>
      </c>
      <c r="AB26" s="860">
        <f t="shared" si="14"/>
        <v>74500</v>
      </c>
      <c r="AC26" s="860">
        <f t="shared" si="15"/>
        <v>14100</v>
      </c>
      <c r="AD26" s="860"/>
      <c r="AE26" s="860"/>
      <c r="AG26" s="860">
        <v>30800</v>
      </c>
      <c r="AH26" s="860">
        <v>5700</v>
      </c>
      <c r="AI26" s="860">
        <v>37500</v>
      </c>
      <c r="AJ26" s="860">
        <v>7300</v>
      </c>
      <c r="AK26" s="860"/>
      <c r="AL26" s="860"/>
    </row>
    <row r="27" spans="1:38" s="7" customFormat="1" ht="18.95" customHeight="1">
      <c r="A27" s="240">
        <v>5</v>
      </c>
      <c r="B27" s="855" t="s">
        <v>391</v>
      </c>
      <c r="C27" s="863">
        <f>SUM('107(b)'!C27*1.1)</f>
        <v>13.213200000000002</v>
      </c>
      <c r="D27" s="863">
        <f>SUM('107(b)'!D27*1.1)</f>
        <v>2.3380500000000004</v>
      </c>
      <c r="E27" s="863">
        <f>SUM('107(b)'!E27*1.1)</f>
        <v>15.551250000000003</v>
      </c>
      <c r="F27" s="863">
        <f>SUM('107(b)'!F27*1.1)</f>
        <v>3.6965500000000002</v>
      </c>
      <c r="G27" s="863">
        <f>SUM('107(b)'!G27*1.1)</f>
        <v>0.65945000000000009</v>
      </c>
      <c r="H27" s="863">
        <f>SUM('107(b)'!H27*1.1)</f>
        <v>4.3559999999999999</v>
      </c>
      <c r="I27" s="863">
        <f>SUM('107(b)'!I27*1.1)</f>
        <v>3.5446400000000002</v>
      </c>
      <c r="J27" s="863">
        <f>SUM('107(b)'!J27*1.1)</f>
        <v>0.77539000000000002</v>
      </c>
      <c r="K27" s="863">
        <f>SUM('107(b)'!K27*1.1)</f>
        <v>4.32003</v>
      </c>
      <c r="L27" s="874">
        <f t="shared" si="12"/>
        <v>24.22728</v>
      </c>
      <c r="M27" s="604"/>
      <c r="N27" s="863">
        <f>SUM('107(b)'!N27*1.1)</f>
        <v>0</v>
      </c>
      <c r="O27" s="863">
        <f>SUM('107(b)'!O27*1.1)</f>
        <v>0</v>
      </c>
      <c r="P27" s="863">
        <f>SUM('107(b)'!P27*1.1)</f>
        <v>0</v>
      </c>
      <c r="Q27" s="863">
        <f>SUM('107(b)'!Q27*1.1)</f>
        <v>0</v>
      </c>
      <c r="R27" s="863">
        <f>SUM('107(b)'!R27*1.1)</f>
        <v>0</v>
      </c>
      <c r="S27" s="863">
        <f>SUM('107(b)'!S27*1.1)</f>
        <v>0</v>
      </c>
      <c r="T27" s="863">
        <f>SUM('107(b)'!T27*1.1)</f>
        <v>0</v>
      </c>
      <c r="U27" s="863">
        <f>SUM('107(b)'!U27*1.1)</f>
        <v>0</v>
      </c>
      <c r="V27" s="863">
        <f>SUM('107(b)'!V27*1.1)</f>
        <v>0</v>
      </c>
      <c r="W27" s="608">
        <f t="shared" si="13"/>
        <v>0</v>
      </c>
      <c r="X27" s="601">
        <f t="shared" si="3"/>
        <v>24.22728</v>
      </c>
      <c r="Z27" s="860">
        <f t="shared" si="10"/>
        <v>61600</v>
      </c>
      <c r="AA27" s="860">
        <f t="shared" si="11"/>
        <v>10900</v>
      </c>
      <c r="AB27" s="860">
        <f t="shared" si="14"/>
        <v>61100</v>
      </c>
      <c r="AC27" s="860">
        <f t="shared" si="15"/>
        <v>10900</v>
      </c>
      <c r="AD27" s="860"/>
      <c r="AE27" s="860"/>
      <c r="AG27" s="860">
        <v>30800</v>
      </c>
      <c r="AH27" s="860">
        <v>5700</v>
      </c>
      <c r="AI27" s="860">
        <v>30800</v>
      </c>
      <c r="AJ27" s="860">
        <v>5700</v>
      </c>
      <c r="AK27" s="860"/>
      <c r="AL27" s="860"/>
    </row>
    <row r="28" spans="1:38" s="7" customFormat="1" ht="18.95" customHeight="1">
      <c r="A28" s="572">
        <v>6</v>
      </c>
      <c r="B28" s="855" t="s">
        <v>1122</v>
      </c>
      <c r="C28" s="863">
        <f>SUM('107(b)'!C28*1.1)</f>
        <v>2.7781600000000002</v>
      </c>
      <c r="D28" s="863">
        <f>SUM('107(b)'!D28*1.1)</f>
        <v>0.49159000000000008</v>
      </c>
      <c r="E28" s="863">
        <f>SUM('107(b)'!E28*1.1)</f>
        <v>3.2697499999999997</v>
      </c>
      <c r="F28" s="863">
        <f>SUM('107(b)'!F28*1.1)</f>
        <v>0.81950000000000001</v>
      </c>
      <c r="G28" s="863">
        <f>SUM('107(b)'!G28*1.1)</f>
        <v>0.15509999999999999</v>
      </c>
      <c r="H28" s="863">
        <f>SUM('107(b)'!H28*1.1)</f>
        <v>0.97460000000000013</v>
      </c>
      <c r="I28" s="863">
        <f>SUM('107(b)'!I28*1.1)</f>
        <v>0.22154000000000001</v>
      </c>
      <c r="J28" s="863">
        <f>SUM('107(b)'!J28*1.1)</f>
        <v>0</v>
      </c>
      <c r="K28" s="863">
        <f>SUM('107(b)'!K28*1.1)</f>
        <v>0.22154000000000001</v>
      </c>
      <c r="L28" s="874">
        <f t="shared" si="12"/>
        <v>4.4658899999999999</v>
      </c>
      <c r="M28" s="604"/>
      <c r="N28" s="863">
        <f>SUM('107(b)'!N28*1.1)</f>
        <v>0</v>
      </c>
      <c r="O28" s="863">
        <f>SUM('107(b)'!O28*1.1)</f>
        <v>0</v>
      </c>
      <c r="P28" s="863">
        <f>SUM('107(b)'!P28*1.1)</f>
        <v>0</v>
      </c>
      <c r="Q28" s="863">
        <f>SUM('107(b)'!Q28*1.1)</f>
        <v>0</v>
      </c>
      <c r="R28" s="863">
        <f>SUM('107(b)'!R28*1.1)</f>
        <v>0</v>
      </c>
      <c r="S28" s="863">
        <f>SUM('107(b)'!S28*1.1)</f>
        <v>0</v>
      </c>
      <c r="T28" s="863">
        <f>SUM('107(b)'!T28*1.1)</f>
        <v>0</v>
      </c>
      <c r="U28" s="863">
        <f>SUM('107(b)'!U28*1.1)</f>
        <v>0</v>
      </c>
      <c r="V28" s="863">
        <f>SUM('107(b)'!V28*1.1)</f>
        <v>0</v>
      </c>
      <c r="W28" s="608">
        <f t="shared" si="13"/>
        <v>0</v>
      </c>
      <c r="X28" s="601">
        <f t="shared" si="3"/>
        <v>4.4658899999999999</v>
      </c>
      <c r="Z28" s="860">
        <f t="shared" si="10"/>
        <v>61600</v>
      </c>
      <c r="AA28" s="860">
        <f t="shared" si="11"/>
        <v>10900</v>
      </c>
      <c r="AB28" s="860">
        <f t="shared" si="14"/>
        <v>74500</v>
      </c>
      <c r="AC28" s="860">
        <f t="shared" si="15"/>
        <v>14100</v>
      </c>
      <c r="AD28" s="860"/>
      <c r="AE28" s="860"/>
      <c r="AG28" s="860">
        <v>30800</v>
      </c>
      <c r="AH28" s="860">
        <v>5700</v>
      </c>
      <c r="AI28" s="860">
        <v>37500</v>
      </c>
      <c r="AJ28" s="860">
        <v>7300</v>
      </c>
      <c r="AK28" s="860"/>
      <c r="AL28" s="860"/>
    </row>
    <row r="29" spans="1:38" s="7" customFormat="1" ht="18.95" customHeight="1">
      <c r="A29" s="240">
        <v>7</v>
      </c>
      <c r="B29" s="855" t="s">
        <v>1316</v>
      </c>
      <c r="C29" s="863">
        <f>SUM('107(b)'!C29*1.1)</f>
        <v>9.5403000000000002</v>
      </c>
      <c r="D29" s="863">
        <f>SUM('107(b)'!D29*1.1)</f>
        <v>1.7625300000000002</v>
      </c>
      <c r="E29" s="863">
        <f>SUM('107(b)'!E29*1.1)</f>
        <v>11.30283</v>
      </c>
      <c r="F29" s="863">
        <f>SUM('107(b)'!F29*1.1)</f>
        <v>7.4613000000000014</v>
      </c>
      <c r="G29" s="863">
        <f>SUM('107(b)'!G29*1.1)</f>
        <v>1.58202</v>
      </c>
      <c r="H29" s="863">
        <f>SUM('107(b)'!H29*1.1)</f>
        <v>9.0433199999999996</v>
      </c>
      <c r="I29" s="863">
        <f>SUM('107(b)'!I29*1.1)</f>
        <v>5.981580000000001</v>
      </c>
      <c r="J29" s="863">
        <f>SUM('107(b)'!J29*1.1)</f>
        <v>2.5477100000000004</v>
      </c>
      <c r="K29" s="863">
        <f>SUM('107(b)'!K29*1.1)</f>
        <v>8.5292899999999996</v>
      </c>
      <c r="L29" s="874">
        <f t="shared" si="12"/>
        <v>28.875439999999998</v>
      </c>
      <c r="M29" s="604"/>
      <c r="N29" s="863">
        <f>SUM('107(b)'!N29*1.1)</f>
        <v>7.9335300000000002</v>
      </c>
      <c r="O29" s="863">
        <f>SUM('107(b)'!O29*1.1)</f>
        <v>0</v>
      </c>
      <c r="P29" s="863">
        <f>SUM('107(b)'!P29*1.1)</f>
        <v>7.9335300000000002</v>
      </c>
      <c r="Q29" s="863">
        <f>SUM('107(b)'!Q29*1.1)</f>
        <v>0</v>
      </c>
      <c r="R29" s="863">
        <f>SUM('107(b)'!R29*1.1)</f>
        <v>0</v>
      </c>
      <c r="S29" s="863">
        <f>SUM('107(b)'!S29*1.1)</f>
        <v>0</v>
      </c>
      <c r="T29" s="863">
        <f>SUM('107(b)'!T29*1.1)</f>
        <v>0</v>
      </c>
      <c r="U29" s="863">
        <f>SUM('107(b)'!U29*1.1)</f>
        <v>0</v>
      </c>
      <c r="V29" s="863">
        <f>SUM('107(b)'!V29*1.1)</f>
        <v>0</v>
      </c>
      <c r="W29" s="608">
        <f t="shared" si="13"/>
        <v>7.9335300000000002</v>
      </c>
      <c r="X29" s="601">
        <f t="shared" si="3"/>
        <v>36.808969999999995</v>
      </c>
      <c r="Z29" s="860">
        <f t="shared" si="10"/>
        <v>59000</v>
      </c>
      <c r="AA29" s="860">
        <f t="shared" si="11"/>
        <v>10900</v>
      </c>
      <c r="AB29" s="860">
        <f t="shared" si="14"/>
        <v>66500</v>
      </c>
      <c r="AC29" s="860">
        <f t="shared" si="15"/>
        <v>14100</v>
      </c>
      <c r="AD29" s="860"/>
      <c r="AE29" s="860"/>
      <c r="AG29" s="860">
        <v>29500</v>
      </c>
      <c r="AH29" s="860">
        <v>5700</v>
      </c>
      <c r="AI29" s="860">
        <v>33500</v>
      </c>
      <c r="AJ29" s="860">
        <v>7300</v>
      </c>
      <c r="AK29" s="860"/>
      <c r="AL29" s="860"/>
    </row>
    <row r="30" spans="1:38" s="7" customFormat="1" ht="18.95" customHeight="1">
      <c r="A30" s="572">
        <v>8</v>
      </c>
      <c r="B30" s="855" t="s">
        <v>396</v>
      </c>
      <c r="C30" s="863">
        <f>SUM('107(b)'!C30*1.1)</f>
        <v>12.67112</v>
      </c>
      <c r="D30" s="863">
        <f>SUM('107(b)'!D30*1.1)</f>
        <v>2.2421300000000004</v>
      </c>
      <c r="E30" s="863">
        <f>SUM('107(b)'!E30*1.1)</f>
        <v>14.91325</v>
      </c>
      <c r="F30" s="863">
        <f>SUM('107(b)'!F30*1.1)</f>
        <v>6.2909000000000006</v>
      </c>
      <c r="G30" s="863">
        <f>SUM('107(b)'!G30*1.1)</f>
        <v>1.33386</v>
      </c>
      <c r="H30" s="863">
        <f>SUM('107(b)'!H30*1.1)</f>
        <v>7.6247600000000011</v>
      </c>
      <c r="I30" s="863">
        <f>SUM('107(b)'!I30*1.1)</f>
        <v>5.0954200000000007</v>
      </c>
      <c r="J30" s="863">
        <f>SUM('107(b)'!J30*1.1)</f>
        <v>3.2123300000000006</v>
      </c>
      <c r="K30" s="863">
        <f>SUM('107(b)'!K30*1.1)</f>
        <v>8.3077500000000004</v>
      </c>
      <c r="L30" s="874">
        <f t="shared" si="12"/>
        <v>30.845760000000002</v>
      </c>
      <c r="M30" s="604"/>
      <c r="N30" s="863">
        <f>SUM('107(b)'!N30*1.1)</f>
        <v>9.483760000000002</v>
      </c>
      <c r="O30" s="863">
        <f>SUM('107(b)'!O30*1.1)</f>
        <v>0</v>
      </c>
      <c r="P30" s="863">
        <f>SUM('107(b)'!P30*1.1)</f>
        <v>9.483760000000002</v>
      </c>
      <c r="Q30" s="863">
        <f>SUM('107(b)'!Q30*1.1)</f>
        <v>0</v>
      </c>
      <c r="R30" s="863">
        <f>SUM('107(b)'!R30*1.1)</f>
        <v>0</v>
      </c>
      <c r="S30" s="863">
        <f>SUM('107(b)'!S30*1.1)</f>
        <v>0</v>
      </c>
      <c r="T30" s="863">
        <f>SUM('107(b)'!T30*1.1)</f>
        <v>0</v>
      </c>
      <c r="U30" s="863">
        <f>SUM('107(b)'!U30*1.1)</f>
        <v>0</v>
      </c>
      <c r="V30" s="863">
        <f>SUM('107(b)'!V30*1.1)</f>
        <v>0</v>
      </c>
      <c r="W30" s="608">
        <f t="shared" si="13"/>
        <v>9.483760000000002</v>
      </c>
      <c r="X30" s="601">
        <f t="shared" si="3"/>
        <v>40.329520000000002</v>
      </c>
      <c r="Z30" s="860">
        <f t="shared" si="10"/>
        <v>61600</v>
      </c>
      <c r="AA30" s="860">
        <f t="shared" si="11"/>
        <v>10900</v>
      </c>
      <c r="AB30" s="860">
        <f t="shared" si="14"/>
        <v>66500</v>
      </c>
      <c r="AC30" s="860">
        <f t="shared" si="15"/>
        <v>14100</v>
      </c>
      <c r="AD30" s="860"/>
      <c r="AE30" s="860"/>
      <c r="AG30" s="860">
        <v>30800</v>
      </c>
      <c r="AH30" s="860">
        <v>5700</v>
      </c>
      <c r="AI30" s="860">
        <v>33500</v>
      </c>
      <c r="AJ30" s="860">
        <v>7300</v>
      </c>
      <c r="AK30" s="860"/>
      <c r="AL30" s="860"/>
    </row>
    <row r="31" spans="1:38" s="7" customFormat="1" ht="18.95" customHeight="1">
      <c r="A31" s="240">
        <v>9</v>
      </c>
      <c r="B31" s="855" t="s">
        <v>1317</v>
      </c>
      <c r="C31" s="863">
        <f>SUM('107(b)'!C31*1.1)</f>
        <v>7.4536000000000007</v>
      </c>
      <c r="D31" s="863">
        <f>SUM('107(b)'!D31*1.1)</f>
        <v>1.3189000000000002</v>
      </c>
      <c r="E31" s="863">
        <f>SUM('107(b)'!E31*1.1)</f>
        <v>8.7725000000000009</v>
      </c>
      <c r="F31" s="863">
        <f>SUM('107(b)'!F31*1.1)</f>
        <v>4.6975500000000006</v>
      </c>
      <c r="G31" s="863">
        <f>SUM('107(b)'!G31*1.1)</f>
        <v>1.1322300000000003</v>
      </c>
      <c r="H31" s="863">
        <f>SUM('107(b)'!H31*1.1)</f>
        <v>5.8297800000000004</v>
      </c>
      <c r="I31" s="863">
        <f>SUM('107(b)'!I31*1.1)</f>
        <v>2.88002</v>
      </c>
      <c r="J31" s="863">
        <f>SUM('107(b)'!J31*1.1)</f>
        <v>1.1076999999999999</v>
      </c>
      <c r="K31" s="863">
        <f>SUM('107(b)'!K31*1.1)</f>
        <v>3.9877199999999999</v>
      </c>
      <c r="L31" s="874">
        <f t="shared" si="12"/>
        <v>18.59</v>
      </c>
      <c r="M31" s="604"/>
      <c r="N31" s="863">
        <f>SUM('107(b)'!N31*1.1)</f>
        <v>7.3863900000000005</v>
      </c>
      <c r="O31" s="863">
        <f>SUM('107(b)'!O31*1.1)</f>
        <v>0</v>
      </c>
      <c r="P31" s="863">
        <f>SUM('107(b)'!P31*1.1)</f>
        <v>7.3863900000000005</v>
      </c>
      <c r="Q31" s="863">
        <f>SUM('107(b)'!Q31*1.1)</f>
        <v>0</v>
      </c>
      <c r="R31" s="863">
        <f>SUM('107(b)'!R31*1.1)</f>
        <v>0</v>
      </c>
      <c r="S31" s="863">
        <f>SUM('107(b)'!S31*1.1)</f>
        <v>0</v>
      </c>
      <c r="T31" s="863">
        <f>SUM('107(b)'!T31*1.1)</f>
        <v>0</v>
      </c>
      <c r="U31" s="863">
        <f>SUM('107(b)'!U31*1.1)</f>
        <v>0</v>
      </c>
      <c r="V31" s="863">
        <f>SUM('107(b)'!V31*1.1)</f>
        <v>0</v>
      </c>
      <c r="W31" s="608">
        <f t="shared" si="13"/>
        <v>7.3863900000000005</v>
      </c>
      <c r="X31" s="601">
        <f t="shared" si="3"/>
        <v>25.976390000000002</v>
      </c>
      <c r="Z31" s="860">
        <f t="shared" si="10"/>
        <v>61600</v>
      </c>
      <c r="AA31" s="860">
        <f t="shared" si="11"/>
        <v>10900</v>
      </c>
      <c r="AB31" s="860">
        <f t="shared" si="14"/>
        <v>58500</v>
      </c>
      <c r="AC31" s="860">
        <f t="shared" si="15"/>
        <v>14100</v>
      </c>
      <c r="AD31" s="860"/>
      <c r="AE31" s="860"/>
      <c r="AG31" s="860">
        <v>30800</v>
      </c>
      <c r="AH31" s="860">
        <v>5700</v>
      </c>
      <c r="AI31" s="860">
        <v>29500</v>
      </c>
      <c r="AJ31" s="860">
        <v>7300</v>
      </c>
      <c r="AK31" s="860"/>
      <c r="AL31" s="860"/>
    </row>
    <row r="32" spans="1:38" s="7" customFormat="1" ht="18.95" customHeight="1">
      <c r="A32" s="572">
        <v>10</v>
      </c>
      <c r="B32" s="855" t="s">
        <v>409</v>
      </c>
      <c r="C32" s="863">
        <f>SUM('107(b)'!C32*1.1)</f>
        <v>5.2852800000000002</v>
      </c>
      <c r="D32" s="863">
        <f>SUM('107(b)'!D32*1.1)</f>
        <v>0.93522000000000005</v>
      </c>
      <c r="E32" s="863">
        <f>SUM('107(b)'!E32*1.1)</f>
        <v>6.2205000000000004</v>
      </c>
      <c r="F32" s="863">
        <f>SUM('107(b)'!F32*1.1)</f>
        <v>3.7417600000000006</v>
      </c>
      <c r="G32" s="863">
        <f>SUM('107(b)'!G32*1.1)</f>
        <v>0.49632000000000004</v>
      </c>
      <c r="H32" s="863">
        <f>SUM('107(b)'!H32*1.1)</f>
        <v>4.238080000000001</v>
      </c>
      <c r="I32" s="863">
        <f>SUM('107(b)'!I32*1.1)</f>
        <v>6.0923500000000006</v>
      </c>
      <c r="J32" s="863">
        <f>SUM('107(b)'!J32*1.1)</f>
        <v>2.88002</v>
      </c>
      <c r="K32" s="863">
        <f>SUM('107(b)'!K32*1.1)</f>
        <v>8.9723700000000015</v>
      </c>
      <c r="L32" s="874">
        <f t="shared" si="12"/>
        <v>19.430950000000003</v>
      </c>
      <c r="M32" s="604"/>
      <c r="N32" s="863">
        <f>SUM('107(b)'!N32*1.1)</f>
        <v>0</v>
      </c>
      <c r="O32" s="863">
        <f>SUM('107(b)'!O32*1.1)</f>
        <v>0</v>
      </c>
      <c r="P32" s="863">
        <f>SUM('107(b)'!P32*1.1)</f>
        <v>0</v>
      </c>
      <c r="Q32" s="863">
        <f>SUM('107(b)'!Q32*1.1)</f>
        <v>0</v>
      </c>
      <c r="R32" s="863">
        <f>SUM('107(b)'!R32*1.1)</f>
        <v>0</v>
      </c>
      <c r="S32" s="863">
        <f>SUM('107(b)'!S32*1.1)</f>
        <v>0</v>
      </c>
      <c r="T32" s="863">
        <f>SUM('107(b)'!T32*1.1)</f>
        <v>0</v>
      </c>
      <c r="U32" s="863">
        <f>SUM('107(b)'!U32*1.1)</f>
        <v>0</v>
      </c>
      <c r="V32" s="863">
        <f>SUM('107(b)'!V32*1.1)</f>
        <v>0</v>
      </c>
      <c r="W32" s="608">
        <f t="shared" si="13"/>
        <v>0</v>
      </c>
      <c r="X32" s="601">
        <f t="shared" si="3"/>
        <v>19.430950000000003</v>
      </c>
      <c r="Z32" s="860">
        <f t="shared" si="10"/>
        <v>61600</v>
      </c>
      <c r="AA32" s="860">
        <f t="shared" si="11"/>
        <v>10900</v>
      </c>
      <c r="AB32" s="860">
        <f t="shared" si="14"/>
        <v>106300</v>
      </c>
      <c r="AC32" s="860">
        <f t="shared" si="15"/>
        <v>14100</v>
      </c>
      <c r="AD32" s="860"/>
      <c r="AE32" s="860"/>
      <c r="AG32" s="860">
        <v>30800</v>
      </c>
      <c r="AH32" s="860">
        <v>5700</v>
      </c>
      <c r="AI32" s="860">
        <v>53400</v>
      </c>
      <c r="AJ32" s="860">
        <v>7300</v>
      </c>
      <c r="AK32" s="860"/>
      <c r="AL32" s="860"/>
    </row>
    <row r="33" spans="1:38" s="7" customFormat="1" ht="18.95" customHeight="1">
      <c r="A33" s="240">
        <v>11</v>
      </c>
      <c r="B33" s="855" t="s">
        <v>382</v>
      </c>
      <c r="C33" s="863">
        <f>SUM('107(b)'!C33*1.1)</f>
        <v>40.507500000000007</v>
      </c>
      <c r="D33" s="863">
        <f>SUM('107(b)'!D33*1.1)</f>
        <v>7.6154100000000007</v>
      </c>
      <c r="E33" s="863">
        <f>SUM('107(b)'!E33*1.1)</f>
        <v>48.122910000000005</v>
      </c>
      <c r="F33" s="863">
        <f>SUM('107(b)'!F33*1.1)</f>
        <v>4.4484000000000004</v>
      </c>
      <c r="G33" s="863">
        <f>SUM('107(b)'!G33*1.1)</f>
        <v>0.62039999999999995</v>
      </c>
      <c r="H33" s="863">
        <f>SUM('107(b)'!H33*1.1)</f>
        <v>5.0688000000000004</v>
      </c>
      <c r="I33" s="863">
        <f>SUM('107(b)'!I33*1.1)</f>
        <v>3.4338700000000006</v>
      </c>
      <c r="J33" s="863">
        <f>SUM('107(b)'!J33*1.1)</f>
        <v>0.44308000000000003</v>
      </c>
      <c r="K33" s="863">
        <f>SUM('107(b)'!K33*1.1)</f>
        <v>3.8769500000000003</v>
      </c>
      <c r="L33" s="874">
        <f t="shared" si="12"/>
        <v>57.068660000000008</v>
      </c>
      <c r="M33" s="604"/>
      <c r="N33" s="863">
        <f>SUM('107(b)'!N33*1.1)</f>
        <v>0</v>
      </c>
      <c r="O33" s="863">
        <f>SUM('107(b)'!O33*1.1)</f>
        <v>0</v>
      </c>
      <c r="P33" s="863">
        <f>SUM('107(b)'!P33*1.1)</f>
        <v>0</v>
      </c>
      <c r="Q33" s="863">
        <f>SUM('107(b)'!Q33*1.1)</f>
        <v>0</v>
      </c>
      <c r="R33" s="863">
        <f>SUM('107(b)'!R33*1.1)</f>
        <v>0</v>
      </c>
      <c r="S33" s="863">
        <f>SUM('107(b)'!S33*1.1)</f>
        <v>0</v>
      </c>
      <c r="T33" s="863">
        <f>SUM('107(b)'!T33*1.1)</f>
        <v>0</v>
      </c>
      <c r="U33" s="863">
        <f>SUM('107(b)'!U33*1.1)</f>
        <v>0</v>
      </c>
      <c r="V33" s="863">
        <f>SUM('107(b)'!V33*1.1)</f>
        <v>0</v>
      </c>
      <c r="W33" s="608">
        <f t="shared" si="13"/>
        <v>0</v>
      </c>
      <c r="X33" s="601">
        <f t="shared" si="3"/>
        <v>57.068660000000008</v>
      </c>
      <c r="Z33" s="860">
        <f t="shared" si="10"/>
        <v>75000</v>
      </c>
      <c r="AA33" s="860">
        <f t="shared" si="11"/>
        <v>14100</v>
      </c>
      <c r="AB33" s="860">
        <f t="shared" si="14"/>
        <v>101100</v>
      </c>
      <c r="AC33" s="860">
        <f t="shared" si="15"/>
        <v>14100</v>
      </c>
      <c r="AD33" s="860"/>
      <c r="AE33" s="860"/>
      <c r="AG33" s="860">
        <v>37500</v>
      </c>
      <c r="AH33" s="860">
        <v>7300</v>
      </c>
      <c r="AI33" s="860">
        <v>50800</v>
      </c>
      <c r="AJ33" s="860">
        <v>7300</v>
      </c>
      <c r="AK33" s="860"/>
      <c r="AL33" s="860"/>
    </row>
    <row r="34" spans="1:38" s="7" customFormat="1" ht="18.95" customHeight="1">
      <c r="A34" s="572">
        <v>12</v>
      </c>
      <c r="B34" s="855" t="s">
        <v>1323</v>
      </c>
      <c r="C34" s="863">
        <f>SUM('107(b)'!C34*1.1)</f>
        <v>5.8960000000000008</v>
      </c>
      <c r="D34" s="863">
        <f>SUM('107(b)'!D34*1.1)</f>
        <v>0.95920000000000005</v>
      </c>
      <c r="E34" s="863">
        <f>SUM('107(b)'!E34*1.1)</f>
        <v>6.8552000000000008</v>
      </c>
      <c r="F34" s="863">
        <f>SUM('107(b)'!F34*1.1)</f>
        <v>7.0955500000000002</v>
      </c>
      <c r="G34" s="863">
        <f>SUM('107(b)'!G34*1.1)</f>
        <v>1.50447</v>
      </c>
      <c r="H34" s="863">
        <f>SUM('107(b)'!H34*1.1)</f>
        <v>8.6000200000000007</v>
      </c>
      <c r="I34" s="863">
        <f>SUM('107(b)'!I34*1.1)</f>
        <v>5.5385000000000009</v>
      </c>
      <c r="J34" s="863">
        <f>SUM('107(b)'!J34*1.1)</f>
        <v>2.3261700000000003</v>
      </c>
      <c r="K34" s="863">
        <f>SUM('107(b)'!K34*1.1)</f>
        <v>7.8646700000000012</v>
      </c>
      <c r="L34" s="874">
        <f t="shared" si="12"/>
        <v>23.319890000000001</v>
      </c>
      <c r="M34" s="604"/>
      <c r="N34" s="863">
        <f>SUM('107(b)'!N34*1.1)</f>
        <v>6.1097299999999999</v>
      </c>
      <c r="O34" s="863">
        <f>SUM('107(b)'!O34*1.1)</f>
        <v>0</v>
      </c>
      <c r="P34" s="863">
        <f>SUM('107(b)'!P34*1.1)</f>
        <v>6.1097299999999999</v>
      </c>
      <c r="Q34" s="863">
        <f>SUM('107(b)'!Q34*1.1)</f>
        <v>0</v>
      </c>
      <c r="R34" s="863">
        <f>SUM('107(b)'!R34*1.1)</f>
        <v>0</v>
      </c>
      <c r="S34" s="863">
        <f>SUM('107(b)'!S34*1.1)</f>
        <v>0</v>
      </c>
      <c r="T34" s="863">
        <f>SUM('107(b)'!T34*1.1)</f>
        <v>0</v>
      </c>
      <c r="U34" s="863">
        <f>SUM('107(b)'!U34*1.1)</f>
        <v>0</v>
      </c>
      <c r="V34" s="863">
        <f>SUM('107(b)'!V34*1.1)</f>
        <v>0</v>
      </c>
      <c r="W34" s="608">
        <f t="shared" si="13"/>
        <v>6.1097299999999999</v>
      </c>
      <c r="X34" s="601">
        <f t="shared" si="3"/>
        <v>29.42962</v>
      </c>
      <c r="Z34" s="860">
        <f t="shared" si="10"/>
        <v>67000</v>
      </c>
      <c r="AA34" s="860">
        <f t="shared" si="11"/>
        <v>10900</v>
      </c>
      <c r="AB34" s="860">
        <f t="shared" si="14"/>
        <v>66500</v>
      </c>
      <c r="AC34" s="860">
        <f t="shared" si="15"/>
        <v>14100</v>
      </c>
      <c r="AD34" s="860"/>
      <c r="AE34" s="860"/>
      <c r="AG34" s="860">
        <v>33500</v>
      </c>
      <c r="AH34" s="860">
        <v>5700</v>
      </c>
      <c r="AI34" s="860">
        <v>33500</v>
      </c>
      <c r="AJ34" s="860">
        <v>7300</v>
      </c>
      <c r="AK34" s="860"/>
      <c r="AL34" s="860"/>
    </row>
    <row r="35" spans="1:38" s="7" customFormat="1" ht="18.95" customHeight="1">
      <c r="A35" s="240">
        <v>13</v>
      </c>
      <c r="B35" s="855" t="s">
        <v>410</v>
      </c>
      <c r="C35" s="863">
        <f>SUM('107(b)'!C35*1.1)</f>
        <v>26.155360000000002</v>
      </c>
      <c r="D35" s="863">
        <f>SUM('107(b)'!D35*1.1)</f>
        <v>4.0549300000000006</v>
      </c>
      <c r="E35" s="863">
        <f>SUM('107(b)'!E35*1.1)</f>
        <v>30.210290000000001</v>
      </c>
      <c r="F35" s="863">
        <f>SUM('107(b)'!F35*1.1)</f>
        <v>0</v>
      </c>
      <c r="G35" s="863">
        <f>SUM('107(b)'!G35*1.1)</f>
        <v>0</v>
      </c>
      <c r="H35" s="863">
        <f>SUM('107(b)'!H35*1.1)</f>
        <v>0</v>
      </c>
      <c r="I35" s="863">
        <f>SUM('107(b)'!I35*1.1)</f>
        <v>3.4338700000000006</v>
      </c>
      <c r="J35" s="863">
        <f>SUM('107(b)'!J35*1.1)</f>
        <v>1.44001</v>
      </c>
      <c r="K35" s="863">
        <f>SUM('107(b)'!K35*1.1)</f>
        <v>4.8738799999999998</v>
      </c>
      <c r="L35" s="874">
        <f t="shared" si="12"/>
        <v>35.08417</v>
      </c>
      <c r="M35" s="604"/>
      <c r="N35" s="863">
        <f>SUM('107(b)'!N35*1.1)</f>
        <v>3.2828400000000002</v>
      </c>
      <c r="O35" s="863">
        <f>SUM('107(b)'!O35*1.1)</f>
        <v>0</v>
      </c>
      <c r="P35" s="863">
        <f>SUM('107(b)'!P35*1.1)</f>
        <v>3.2828400000000002</v>
      </c>
      <c r="Q35" s="863">
        <f>SUM('107(b)'!Q35*1.1)</f>
        <v>0</v>
      </c>
      <c r="R35" s="863">
        <f>SUM('107(b)'!R35*1.1)</f>
        <v>0</v>
      </c>
      <c r="S35" s="863">
        <f>SUM('107(b)'!S35*1.1)</f>
        <v>0</v>
      </c>
      <c r="T35" s="863">
        <f>SUM('107(b)'!T35*1.1)</f>
        <v>0</v>
      </c>
      <c r="U35" s="863">
        <f>SUM('107(b)'!U35*1.1)</f>
        <v>0</v>
      </c>
      <c r="V35" s="863">
        <f>SUM('107(b)'!V35*1.1)</f>
        <v>0</v>
      </c>
      <c r="W35" s="608">
        <f t="shared" si="13"/>
        <v>3.2828400000000002</v>
      </c>
      <c r="X35" s="601">
        <f t="shared" si="3"/>
        <v>38.367010000000001</v>
      </c>
      <c r="Z35" s="860">
        <f t="shared" si="10"/>
        <v>123200</v>
      </c>
      <c r="AA35" s="860">
        <f t="shared" si="11"/>
        <v>19100</v>
      </c>
      <c r="AB35" s="860"/>
      <c r="AC35" s="860"/>
      <c r="AD35" s="860"/>
      <c r="AE35" s="860"/>
      <c r="AG35" s="860">
        <v>61600</v>
      </c>
      <c r="AH35" s="860">
        <v>9800</v>
      </c>
      <c r="AI35" s="860"/>
      <c r="AJ35" s="860"/>
      <c r="AK35" s="860"/>
      <c r="AL35" s="860"/>
    </row>
    <row r="36" spans="1:38" ht="20.100000000000001" customHeight="1">
      <c r="A36" s="1583" t="s">
        <v>752</v>
      </c>
      <c r="B36" s="1583"/>
      <c r="C36" s="865">
        <f>SUM(C23:C35)</f>
        <v>164.50984000000003</v>
      </c>
      <c r="D36" s="865">
        <f t="shared" ref="D36:L36" si="16">SUM(D23:D35)</f>
        <v>29.225790000000003</v>
      </c>
      <c r="E36" s="865">
        <f t="shared" si="16"/>
        <v>193.73563000000001</v>
      </c>
      <c r="F36" s="865">
        <f t="shared" si="16"/>
        <v>60.155260000000006</v>
      </c>
      <c r="G36" s="865">
        <f t="shared" si="16"/>
        <v>11.656040000000001</v>
      </c>
      <c r="H36" s="865">
        <f t="shared" si="16"/>
        <v>71.811300000000017</v>
      </c>
      <c r="I36" s="865">
        <f t="shared" si="16"/>
        <v>50.843430000000005</v>
      </c>
      <c r="J36" s="865">
        <f t="shared" si="16"/>
        <v>17.169350000000001</v>
      </c>
      <c r="K36" s="865">
        <f t="shared" si="16"/>
        <v>68.012780000000021</v>
      </c>
      <c r="L36" s="864">
        <f t="shared" si="16"/>
        <v>333.55971</v>
      </c>
      <c r="M36" s="604"/>
      <c r="N36" s="864">
        <f t="shared" ref="N36:W36" si="17">SUM(N23:N35)</f>
        <v>82.526949999999999</v>
      </c>
      <c r="O36" s="560">
        <f t="shared" si="17"/>
        <v>0</v>
      </c>
      <c r="P36" s="864">
        <f t="shared" si="17"/>
        <v>82.526949999999999</v>
      </c>
      <c r="Q36" s="864">
        <f t="shared" si="17"/>
        <v>6.4548000000000005</v>
      </c>
      <c r="R36" s="864">
        <f t="shared" si="17"/>
        <v>0</v>
      </c>
      <c r="S36" s="864">
        <f t="shared" si="17"/>
        <v>6.4548000000000005</v>
      </c>
      <c r="T36" s="560">
        <f t="shared" si="17"/>
        <v>0</v>
      </c>
      <c r="U36" s="560">
        <f t="shared" si="17"/>
        <v>0</v>
      </c>
      <c r="V36" s="575">
        <f t="shared" si="17"/>
        <v>0</v>
      </c>
      <c r="W36" s="560">
        <f t="shared" si="17"/>
        <v>88.981750000000005</v>
      </c>
      <c r="X36" s="601">
        <f t="shared" si="3"/>
        <v>422.54146000000003</v>
      </c>
      <c r="AG36" s="857"/>
      <c r="AH36" s="857"/>
      <c r="AI36" s="857"/>
      <c r="AJ36" s="857"/>
      <c r="AK36" s="857"/>
      <c r="AL36" s="857"/>
    </row>
    <row r="37" spans="1:38" ht="15" customHeight="1">
      <c r="A37" s="1581" t="s">
        <v>152</v>
      </c>
      <c r="B37" s="1581"/>
      <c r="C37" s="1581"/>
      <c r="D37" s="1581"/>
      <c r="E37" s="1581"/>
      <c r="F37" s="1581"/>
      <c r="G37" s="1581"/>
      <c r="H37" s="1581"/>
      <c r="I37" s="1581"/>
      <c r="J37" s="1581"/>
      <c r="K37" s="1581"/>
      <c r="L37" s="1581"/>
      <c r="M37" s="604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0"/>
      <c r="AG37" s="857"/>
      <c r="AH37" s="857"/>
      <c r="AI37" s="857"/>
      <c r="AJ37" s="857"/>
      <c r="AK37" s="857"/>
      <c r="AL37" s="857"/>
    </row>
    <row r="38" spans="1:38" s="7" customFormat="1" ht="18.95" customHeight="1">
      <c r="A38" s="240">
        <v>1</v>
      </c>
      <c r="B38" s="242"/>
      <c r="C38" s="271"/>
      <c r="D38" s="271"/>
      <c r="E38" s="606">
        <f t="shared" ref="E38:E43" si="18">C38+D38</f>
        <v>0</v>
      </c>
      <c r="F38" s="606"/>
      <c r="G38" s="606"/>
      <c r="H38" s="606">
        <f t="shared" ref="H38:H43" si="19">F38+G38</f>
        <v>0</v>
      </c>
      <c r="I38" s="271"/>
      <c r="J38" s="271"/>
      <c r="K38" s="607">
        <f t="shared" ref="K38:K43" si="20">I38+J38</f>
        <v>0</v>
      </c>
      <c r="L38" s="608">
        <f>E38+K38+H38</f>
        <v>0</v>
      </c>
      <c r="M38" s="604"/>
      <c r="N38" s="271"/>
      <c r="O38" s="271"/>
      <c r="P38" s="606">
        <f t="shared" ref="P38:P43" si="21">N38+O38</f>
        <v>0</v>
      </c>
      <c r="Q38" s="606"/>
      <c r="R38" s="606"/>
      <c r="S38" s="606">
        <f t="shared" ref="S38:S43" si="22">Q38+R38</f>
        <v>0</v>
      </c>
      <c r="T38" s="271"/>
      <c r="U38" s="271"/>
      <c r="V38" s="607">
        <f t="shared" ref="V38:V43" si="23">T38+U38</f>
        <v>0</v>
      </c>
      <c r="W38" s="608">
        <f>P38+V38+S38</f>
        <v>0</v>
      </c>
      <c r="X38" s="601">
        <f t="shared" si="3"/>
        <v>0</v>
      </c>
      <c r="Z38" s="860"/>
      <c r="AA38" s="860"/>
      <c r="AB38" s="860"/>
      <c r="AC38" s="860"/>
      <c r="AD38" s="860"/>
      <c r="AE38" s="860"/>
      <c r="AG38" s="860"/>
      <c r="AH38" s="860"/>
      <c r="AI38" s="860"/>
      <c r="AJ38" s="860"/>
      <c r="AK38" s="860"/>
      <c r="AL38" s="860"/>
    </row>
    <row r="39" spans="1:38" s="7" customFormat="1" ht="18.95" customHeight="1">
      <c r="A39" s="241">
        <v>2</v>
      </c>
      <c r="B39" s="242"/>
      <c r="C39" s="238"/>
      <c r="D39" s="238"/>
      <c r="E39" s="239">
        <f t="shared" si="18"/>
        <v>0</v>
      </c>
      <c r="F39" s="239"/>
      <c r="G39" s="239"/>
      <c r="H39" s="239">
        <f t="shared" si="19"/>
        <v>0</v>
      </c>
      <c r="I39" s="238"/>
      <c r="J39" s="238"/>
      <c r="K39" s="564">
        <f t="shared" si="20"/>
        <v>0</v>
      </c>
      <c r="L39" s="565">
        <f>E39+K39</f>
        <v>0</v>
      </c>
      <c r="M39" s="604"/>
      <c r="N39" s="238"/>
      <c r="O39" s="238"/>
      <c r="P39" s="239">
        <f t="shared" si="21"/>
        <v>0</v>
      </c>
      <c r="Q39" s="239"/>
      <c r="R39" s="239"/>
      <c r="S39" s="239">
        <f t="shared" si="22"/>
        <v>0</v>
      </c>
      <c r="T39" s="238"/>
      <c r="U39" s="238"/>
      <c r="V39" s="564">
        <f t="shared" si="23"/>
        <v>0</v>
      </c>
      <c r="W39" s="565">
        <f>P39+V39</f>
        <v>0</v>
      </c>
      <c r="X39" s="601">
        <f t="shared" si="3"/>
        <v>0</v>
      </c>
      <c r="Z39" s="860"/>
      <c r="AA39" s="860"/>
      <c r="AB39" s="860"/>
      <c r="AC39" s="860"/>
      <c r="AD39" s="860"/>
      <c r="AE39" s="860"/>
      <c r="AG39" s="860"/>
      <c r="AH39" s="860"/>
      <c r="AI39" s="860"/>
      <c r="AJ39" s="860"/>
      <c r="AK39" s="860"/>
      <c r="AL39" s="860"/>
    </row>
    <row r="40" spans="1:38" s="7" customFormat="1" ht="18.95" customHeight="1">
      <c r="A40" s="241">
        <v>3</v>
      </c>
      <c r="B40" s="242"/>
      <c r="C40" s="238"/>
      <c r="D40" s="238"/>
      <c r="E40" s="239">
        <f t="shared" si="18"/>
        <v>0</v>
      </c>
      <c r="F40" s="239"/>
      <c r="G40" s="239"/>
      <c r="H40" s="239">
        <f t="shared" si="19"/>
        <v>0</v>
      </c>
      <c r="I40" s="238"/>
      <c r="J40" s="238"/>
      <c r="K40" s="564">
        <f t="shared" si="20"/>
        <v>0</v>
      </c>
      <c r="L40" s="565">
        <f>E40+K40</f>
        <v>0</v>
      </c>
      <c r="M40" s="604"/>
      <c r="N40" s="238"/>
      <c r="O40" s="238"/>
      <c r="P40" s="239">
        <f t="shared" si="21"/>
        <v>0</v>
      </c>
      <c r="Q40" s="239"/>
      <c r="R40" s="239"/>
      <c r="S40" s="239">
        <f t="shared" si="22"/>
        <v>0</v>
      </c>
      <c r="T40" s="238"/>
      <c r="U40" s="238"/>
      <c r="V40" s="564">
        <f t="shared" si="23"/>
        <v>0</v>
      </c>
      <c r="W40" s="565">
        <f>P40+V40</f>
        <v>0</v>
      </c>
      <c r="X40" s="601">
        <f t="shared" si="3"/>
        <v>0</v>
      </c>
      <c r="Z40" s="860"/>
      <c r="AA40" s="860"/>
      <c r="AB40" s="860"/>
      <c r="AC40" s="860"/>
      <c r="AD40" s="860"/>
      <c r="AE40" s="860"/>
      <c r="AG40" s="860"/>
      <c r="AH40" s="860"/>
      <c r="AI40" s="860"/>
      <c r="AJ40" s="860"/>
      <c r="AK40" s="860"/>
      <c r="AL40" s="860"/>
    </row>
    <row r="41" spans="1:38" s="7" customFormat="1" ht="18.95" customHeight="1">
      <c r="A41" s="241">
        <v>4</v>
      </c>
      <c r="B41" s="242"/>
      <c r="C41" s="238"/>
      <c r="D41" s="238"/>
      <c r="E41" s="239">
        <f t="shared" si="18"/>
        <v>0</v>
      </c>
      <c r="F41" s="239"/>
      <c r="G41" s="239"/>
      <c r="H41" s="239">
        <f t="shared" si="19"/>
        <v>0</v>
      </c>
      <c r="I41" s="238"/>
      <c r="J41" s="238"/>
      <c r="K41" s="564">
        <f t="shared" si="20"/>
        <v>0</v>
      </c>
      <c r="L41" s="565">
        <f>E41+K41</f>
        <v>0</v>
      </c>
      <c r="M41" s="604"/>
      <c r="N41" s="238"/>
      <c r="O41" s="238"/>
      <c r="P41" s="239">
        <f t="shared" si="21"/>
        <v>0</v>
      </c>
      <c r="Q41" s="239"/>
      <c r="R41" s="239"/>
      <c r="S41" s="239">
        <f t="shared" si="22"/>
        <v>0</v>
      </c>
      <c r="T41" s="238"/>
      <c r="U41" s="238"/>
      <c r="V41" s="564">
        <f t="shared" si="23"/>
        <v>0</v>
      </c>
      <c r="W41" s="565">
        <f>P41+V41</f>
        <v>0</v>
      </c>
      <c r="X41" s="601">
        <f t="shared" si="3"/>
        <v>0</v>
      </c>
      <c r="Z41" s="860"/>
      <c r="AA41" s="860"/>
      <c r="AB41" s="860"/>
      <c r="AC41" s="860"/>
      <c r="AD41" s="860"/>
      <c r="AE41" s="860"/>
      <c r="AG41" s="860"/>
      <c r="AH41" s="860"/>
      <c r="AI41" s="860"/>
      <c r="AJ41" s="860"/>
      <c r="AK41" s="860"/>
      <c r="AL41" s="860"/>
    </row>
    <row r="42" spans="1:38" s="7" customFormat="1" ht="18.95" customHeight="1">
      <c r="A42" s="241">
        <v>5</v>
      </c>
      <c r="B42" s="242"/>
      <c r="C42" s="238"/>
      <c r="D42" s="238"/>
      <c r="E42" s="239">
        <f t="shared" si="18"/>
        <v>0</v>
      </c>
      <c r="F42" s="239"/>
      <c r="G42" s="239"/>
      <c r="H42" s="239">
        <f t="shared" si="19"/>
        <v>0</v>
      </c>
      <c r="I42" s="238"/>
      <c r="J42" s="238"/>
      <c r="K42" s="564">
        <f t="shared" si="20"/>
        <v>0</v>
      </c>
      <c r="L42" s="565">
        <f>E42+K42</f>
        <v>0</v>
      </c>
      <c r="M42" s="604"/>
      <c r="N42" s="238"/>
      <c r="O42" s="238"/>
      <c r="P42" s="239">
        <f t="shared" si="21"/>
        <v>0</v>
      </c>
      <c r="Q42" s="239"/>
      <c r="R42" s="239"/>
      <c r="S42" s="239">
        <f t="shared" si="22"/>
        <v>0</v>
      </c>
      <c r="T42" s="238"/>
      <c r="U42" s="238"/>
      <c r="V42" s="564">
        <f t="shared" si="23"/>
        <v>0</v>
      </c>
      <c r="W42" s="565">
        <f>P42+V42</f>
        <v>0</v>
      </c>
      <c r="X42" s="601">
        <f t="shared" si="3"/>
        <v>0</v>
      </c>
      <c r="Z42" s="860"/>
      <c r="AA42" s="860"/>
      <c r="AB42" s="860"/>
      <c r="AC42" s="860"/>
      <c r="AD42" s="860"/>
      <c r="AE42" s="860"/>
      <c r="AG42" s="860"/>
      <c r="AH42" s="860"/>
      <c r="AI42" s="860"/>
      <c r="AJ42" s="860"/>
      <c r="AK42" s="860"/>
      <c r="AL42" s="860"/>
    </row>
    <row r="43" spans="1:38" s="7" customFormat="1" ht="18.95" customHeight="1">
      <c r="A43" s="561">
        <v>6</v>
      </c>
      <c r="B43" s="562"/>
      <c r="C43" s="359"/>
      <c r="D43" s="237"/>
      <c r="E43" s="198">
        <f t="shared" si="18"/>
        <v>0</v>
      </c>
      <c r="F43" s="198"/>
      <c r="G43" s="563"/>
      <c r="H43" s="563">
        <f t="shared" si="19"/>
        <v>0</v>
      </c>
      <c r="I43" s="359"/>
      <c r="J43" s="237"/>
      <c r="K43" s="574">
        <f t="shared" si="20"/>
        <v>0</v>
      </c>
      <c r="L43" s="565">
        <f>E43+K43</f>
        <v>0</v>
      </c>
      <c r="M43" s="604"/>
      <c r="N43" s="359"/>
      <c r="O43" s="237"/>
      <c r="P43" s="198">
        <f t="shared" si="21"/>
        <v>0</v>
      </c>
      <c r="Q43" s="198"/>
      <c r="R43" s="563"/>
      <c r="S43" s="563">
        <f t="shared" si="22"/>
        <v>0</v>
      </c>
      <c r="T43" s="359"/>
      <c r="U43" s="237"/>
      <c r="V43" s="574">
        <f t="shared" si="23"/>
        <v>0</v>
      </c>
      <c r="W43" s="565">
        <f>P43+V43</f>
        <v>0</v>
      </c>
      <c r="X43" s="601">
        <f t="shared" si="3"/>
        <v>0</v>
      </c>
      <c r="Z43" s="860"/>
      <c r="AA43" s="860"/>
      <c r="AB43" s="860"/>
      <c r="AC43" s="860"/>
      <c r="AD43" s="860"/>
      <c r="AE43" s="860"/>
      <c r="AG43" s="860"/>
      <c r="AH43" s="860"/>
      <c r="AI43" s="860"/>
      <c r="AJ43" s="860"/>
      <c r="AK43" s="860"/>
      <c r="AL43" s="860"/>
    </row>
    <row r="44" spans="1:38" ht="20.100000000000001" customHeight="1">
      <c r="A44" s="1583" t="s">
        <v>752</v>
      </c>
      <c r="B44" s="1583"/>
      <c r="C44" s="560">
        <f>SUM(C38:C42)</f>
        <v>0</v>
      </c>
      <c r="D44" s="560">
        <f t="shared" ref="D44:L44" si="24">SUM(D38:D42)</f>
        <v>0</v>
      </c>
      <c r="E44" s="560">
        <f t="shared" si="24"/>
        <v>0</v>
      </c>
      <c r="F44" s="560">
        <f t="shared" si="24"/>
        <v>0</v>
      </c>
      <c r="G44" s="560">
        <f t="shared" si="24"/>
        <v>0</v>
      </c>
      <c r="H44" s="560">
        <f t="shared" si="24"/>
        <v>0</v>
      </c>
      <c r="I44" s="560">
        <f t="shared" si="24"/>
        <v>0</v>
      </c>
      <c r="J44" s="560">
        <f t="shared" si="24"/>
        <v>0</v>
      </c>
      <c r="K44" s="575">
        <f t="shared" si="24"/>
        <v>0</v>
      </c>
      <c r="L44" s="560">
        <f t="shared" si="24"/>
        <v>0</v>
      </c>
      <c r="M44" s="604"/>
      <c r="N44" s="560">
        <f>SUM(N38:N42)</f>
        <v>0</v>
      </c>
      <c r="O44" s="560">
        <f t="shared" ref="O44:W44" si="25">SUM(O38:O42)</f>
        <v>0</v>
      </c>
      <c r="P44" s="560">
        <f t="shared" si="25"/>
        <v>0</v>
      </c>
      <c r="Q44" s="560">
        <f t="shared" si="25"/>
        <v>0</v>
      </c>
      <c r="R44" s="560">
        <f t="shared" si="25"/>
        <v>0</v>
      </c>
      <c r="S44" s="560">
        <f t="shared" si="25"/>
        <v>0</v>
      </c>
      <c r="T44" s="560">
        <f t="shared" si="25"/>
        <v>0</v>
      </c>
      <c r="U44" s="560">
        <f t="shared" si="25"/>
        <v>0</v>
      </c>
      <c r="V44" s="575">
        <f t="shared" si="25"/>
        <v>0</v>
      </c>
      <c r="W44" s="560">
        <f t="shared" si="25"/>
        <v>0</v>
      </c>
      <c r="X44" s="601">
        <f t="shared" si="3"/>
        <v>0</v>
      </c>
      <c r="AG44" s="857"/>
      <c r="AH44" s="857"/>
      <c r="AI44" s="857"/>
      <c r="AJ44" s="857"/>
      <c r="AK44" s="857"/>
      <c r="AL44" s="857"/>
    </row>
    <row r="45" spans="1:38" ht="15" customHeight="1">
      <c r="A45" s="1581" t="s">
        <v>741</v>
      </c>
      <c r="B45" s="1581"/>
      <c r="C45" s="1581"/>
      <c r="D45" s="1581"/>
      <c r="E45" s="1581"/>
      <c r="F45" s="1581"/>
      <c r="G45" s="1581"/>
      <c r="H45" s="1581"/>
      <c r="I45" s="1581"/>
      <c r="J45" s="1581"/>
      <c r="K45" s="1581"/>
      <c r="L45" s="1581"/>
      <c r="M45" s="604"/>
      <c r="N45" s="609"/>
      <c r="O45" s="609"/>
      <c r="P45" s="609"/>
      <c r="Q45" s="609"/>
      <c r="R45" s="609"/>
      <c r="S45" s="609"/>
      <c r="T45" s="609"/>
      <c r="U45" s="609"/>
      <c r="V45" s="609"/>
      <c r="W45" s="609"/>
      <c r="X45" s="600"/>
      <c r="AG45" s="857"/>
      <c r="AH45" s="857"/>
      <c r="AI45" s="857"/>
      <c r="AJ45" s="857"/>
      <c r="AK45" s="857"/>
      <c r="AL45" s="857"/>
    </row>
    <row r="46" spans="1:38" s="7" customFormat="1" ht="18.95" customHeight="1">
      <c r="A46" s="936">
        <v>1</v>
      </c>
      <c r="B46" s="855" t="s">
        <v>1321</v>
      </c>
      <c r="C46" s="937">
        <f>SUM('107(b)'!C46*1.1)</f>
        <v>18.892500000000002</v>
      </c>
      <c r="D46" s="937">
        <f>SUM('107(b)'!D46*1.1)</f>
        <v>2.7457100000000003</v>
      </c>
      <c r="E46" s="937">
        <f>SUM('107(b)'!E46*1.1)</f>
        <v>21.638210000000004</v>
      </c>
      <c r="F46" s="937">
        <f>SUM('107(b)'!F46*1.1)</f>
        <v>16.592840000000002</v>
      </c>
      <c r="G46" s="937">
        <f>SUM('107(b)'!G46*1.1)</f>
        <v>2.6677200000000001</v>
      </c>
      <c r="H46" s="937">
        <f>SUM('107(b)'!H46*1.1)</f>
        <v>19.260560000000002</v>
      </c>
      <c r="I46" s="937">
        <f>SUM('107(b)'!I46*1.1)</f>
        <v>3.4338700000000006</v>
      </c>
      <c r="J46" s="937">
        <f>SUM('107(b)'!J46*1.1)</f>
        <v>3.1015600000000001</v>
      </c>
      <c r="K46" s="937">
        <f>SUM('107(b)'!K46*1.1)</f>
        <v>6.5354300000000007</v>
      </c>
      <c r="L46" s="938">
        <f>E46+K46+H46</f>
        <v>47.434200000000004</v>
      </c>
      <c r="M46" s="604"/>
      <c r="N46" s="862">
        <f>SUM('107(b)'!N46*1.1)</f>
        <v>41.49145</v>
      </c>
      <c r="O46" s="862">
        <f>SUM('107(b)'!O46*1.1)</f>
        <v>0</v>
      </c>
      <c r="P46" s="862">
        <f>SUM('107(b)'!P46*1.1)</f>
        <v>41.49145</v>
      </c>
      <c r="Q46" s="862">
        <f>SUM('107(b)'!Q46*1.1)</f>
        <v>14.602500000000001</v>
      </c>
      <c r="R46" s="862">
        <f>SUM('107(b)'!R46*1.1)</f>
        <v>0</v>
      </c>
      <c r="S46" s="862">
        <f>SUM('107(b)'!S46*1.1)</f>
        <v>14.602500000000001</v>
      </c>
      <c r="T46" s="862">
        <f>SUM('107(b)'!T46*1.1)</f>
        <v>0</v>
      </c>
      <c r="U46" s="862">
        <f>SUM('107(b)'!U46*1.1)</f>
        <v>0</v>
      </c>
      <c r="V46" s="862">
        <f>SUM('107(b)'!V46*1.1)</f>
        <v>0</v>
      </c>
      <c r="W46" s="608">
        <f>P46+V46+S46</f>
        <v>56.09395</v>
      </c>
      <c r="X46" s="601">
        <f t="shared" si="3"/>
        <v>103.52815000000001</v>
      </c>
      <c r="Z46" s="860">
        <f t="shared" ref="Z46:Z53" si="26">SUM(AG46*2)</f>
        <v>75000</v>
      </c>
      <c r="AA46" s="860">
        <f t="shared" ref="AA46:AA53" si="27">SUM(AH46*2)-500</f>
        <v>10900</v>
      </c>
      <c r="AB46" s="860">
        <f t="shared" ref="AB46:AB53" si="28">SUM(AI46*2)-500</f>
        <v>87700</v>
      </c>
      <c r="AC46" s="860">
        <f t="shared" ref="AC46:AC53" si="29">SUM(AJ46*2)-500</f>
        <v>14100</v>
      </c>
      <c r="AD46" s="860"/>
      <c r="AE46" s="860"/>
      <c r="AG46" s="860">
        <v>37500</v>
      </c>
      <c r="AH46" s="860">
        <v>5700</v>
      </c>
      <c r="AI46" s="860">
        <v>44100</v>
      </c>
      <c r="AJ46" s="860">
        <v>7300</v>
      </c>
      <c r="AK46" s="860"/>
      <c r="AL46" s="860"/>
    </row>
    <row r="47" spans="1:38" s="7" customFormat="1" ht="18.95" customHeight="1">
      <c r="A47" s="939">
        <v>2</v>
      </c>
      <c r="B47" s="855" t="s">
        <v>1322</v>
      </c>
      <c r="C47" s="937">
        <f>SUM('107(b)'!C47*1.1)</f>
        <v>16.951000000000001</v>
      </c>
      <c r="D47" s="937">
        <f>SUM('107(b)'!D47*1.1)</f>
        <v>2.7577000000000003</v>
      </c>
      <c r="E47" s="937">
        <f>SUM('107(b)'!E47*1.1)</f>
        <v>19.708700000000004</v>
      </c>
      <c r="F47" s="937">
        <f>SUM('107(b)'!F47*1.1)</f>
        <v>3.5838000000000001</v>
      </c>
      <c r="G47" s="937">
        <f>SUM('107(b)'!G47*1.1)</f>
        <v>0.43164000000000008</v>
      </c>
      <c r="H47" s="937">
        <f>SUM('107(b)'!H47*1.1)</f>
        <v>4.0154399999999999</v>
      </c>
      <c r="I47" s="937">
        <f>SUM('107(b)'!I47*1.1)</f>
        <v>0</v>
      </c>
      <c r="J47" s="937">
        <f>SUM('107(b)'!J47*1.1)</f>
        <v>0</v>
      </c>
      <c r="K47" s="937">
        <f>SUM('107(b)'!K47*1.1)</f>
        <v>0</v>
      </c>
      <c r="L47" s="940">
        <f>E47+K47</f>
        <v>19.708700000000004</v>
      </c>
      <c r="M47" s="604"/>
      <c r="N47" s="862">
        <f>SUM('107(b)'!N47*1.1)</f>
        <v>0</v>
      </c>
      <c r="O47" s="862">
        <f>SUM('107(b)'!O47*1.1)</f>
        <v>0</v>
      </c>
      <c r="P47" s="862">
        <f>SUM('107(b)'!P47*1.1)</f>
        <v>0</v>
      </c>
      <c r="Q47" s="862">
        <f>SUM('107(b)'!Q47*1.1)</f>
        <v>0</v>
      </c>
      <c r="R47" s="862">
        <f>SUM('107(b)'!R47*1.1)</f>
        <v>0</v>
      </c>
      <c r="S47" s="862">
        <f>SUM('107(b)'!S47*1.1)</f>
        <v>0</v>
      </c>
      <c r="T47" s="862">
        <f>SUM('107(b)'!T47*1.1)</f>
        <v>0</v>
      </c>
      <c r="U47" s="862">
        <f>SUM('107(b)'!U47*1.1)</f>
        <v>0</v>
      </c>
      <c r="V47" s="862">
        <f>SUM('107(b)'!V47*1.1)</f>
        <v>0</v>
      </c>
      <c r="W47" s="565">
        <f>P47+V47</f>
        <v>0</v>
      </c>
      <c r="X47" s="601">
        <f t="shared" si="3"/>
        <v>19.708700000000004</v>
      </c>
      <c r="Z47" s="860">
        <f t="shared" si="26"/>
        <v>67000</v>
      </c>
      <c r="AA47" s="860">
        <f t="shared" si="27"/>
        <v>10900</v>
      </c>
      <c r="AB47" s="860">
        <f t="shared" si="28"/>
        <v>90500</v>
      </c>
      <c r="AC47" s="860">
        <f t="shared" si="29"/>
        <v>10900</v>
      </c>
      <c r="AD47" s="860"/>
      <c r="AE47" s="860"/>
      <c r="AG47" s="860">
        <v>33500</v>
      </c>
      <c r="AH47" s="860">
        <v>5700</v>
      </c>
      <c r="AI47" s="860">
        <v>45500</v>
      </c>
      <c r="AJ47" s="860">
        <v>5700</v>
      </c>
      <c r="AK47" s="860"/>
      <c r="AL47" s="860"/>
    </row>
    <row r="48" spans="1:38" s="7" customFormat="1" ht="18.95" customHeight="1">
      <c r="A48" s="939"/>
      <c r="B48" s="855" t="s">
        <v>1324</v>
      </c>
      <c r="C48" s="937">
        <f>SUM('107(b)'!C48*1.1)</f>
        <v>0</v>
      </c>
      <c r="D48" s="937">
        <f>SUM('107(b)'!D48*1.1)</f>
        <v>0</v>
      </c>
      <c r="E48" s="937">
        <f>SUM('107(b)'!E48*1.1)</f>
        <v>0</v>
      </c>
      <c r="F48" s="937">
        <f>SUM('107(b)'!F48*1.1)</f>
        <v>8.6317000000000004</v>
      </c>
      <c r="G48" s="937">
        <f>SUM('107(b)'!G48*1.1)</f>
        <v>1.8301800000000001</v>
      </c>
      <c r="H48" s="937">
        <f>SUM('107(b)'!H48*1.1)</f>
        <v>0</v>
      </c>
      <c r="I48" s="937">
        <f>SUM('107(b)'!I48*1.1)</f>
        <v>3.3231000000000002</v>
      </c>
      <c r="J48" s="937">
        <f>SUM('107(b)'!J48*1.1)</f>
        <v>0</v>
      </c>
      <c r="K48" s="937">
        <f>SUM('107(b)'!K48*1.1)</f>
        <v>0</v>
      </c>
      <c r="L48" s="940"/>
      <c r="M48" s="604"/>
      <c r="N48" s="862">
        <f>SUM('107(b)'!N48*1.1)</f>
        <v>0</v>
      </c>
      <c r="O48" s="862">
        <f>SUM('107(b)'!O48*1.1)</f>
        <v>0</v>
      </c>
      <c r="P48" s="862">
        <f>SUM('107(b)'!P48*1.1)</f>
        <v>0</v>
      </c>
      <c r="Q48" s="862">
        <f>SUM('107(b)'!Q48*1.1)</f>
        <v>0</v>
      </c>
      <c r="R48" s="862">
        <f>SUM('107(b)'!R48*1.1)</f>
        <v>0</v>
      </c>
      <c r="S48" s="862">
        <f>SUM('107(b)'!S48*1.1)</f>
        <v>0</v>
      </c>
      <c r="T48" s="862">
        <f>SUM('107(b)'!T48*1.1)</f>
        <v>0</v>
      </c>
      <c r="U48" s="862">
        <f>SUM('107(b)'!U48*1.1)</f>
        <v>0</v>
      </c>
      <c r="V48" s="862">
        <f>SUM('107(b)'!V48*1.1)</f>
        <v>0</v>
      </c>
      <c r="W48" s="565"/>
      <c r="X48" s="601"/>
      <c r="Z48" s="860">
        <f t="shared" si="26"/>
        <v>67000</v>
      </c>
      <c r="AA48" s="860">
        <f t="shared" si="27"/>
        <v>10900</v>
      </c>
      <c r="AB48" s="860">
        <f t="shared" si="28"/>
        <v>66500</v>
      </c>
      <c r="AC48" s="860">
        <f t="shared" si="29"/>
        <v>14100</v>
      </c>
      <c r="AD48" s="860"/>
      <c r="AE48" s="860"/>
      <c r="AG48" s="860">
        <v>33500</v>
      </c>
      <c r="AH48" s="860">
        <v>5700</v>
      </c>
      <c r="AI48" s="860">
        <v>33500</v>
      </c>
      <c r="AJ48" s="860">
        <v>7300</v>
      </c>
      <c r="AK48" s="860"/>
      <c r="AL48" s="860"/>
    </row>
    <row r="49" spans="1:38" s="7" customFormat="1" ht="18.95" customHeight="1">
      <c r="A49" s="939"/>
      <c r="B49" s="855" t="s">
        <v>372</v>
      </c>
      <c r="C49" s="937">
        <f>SUM('107(b)'!C49*1.1)</f>
        <v>0</v>
      </c>
      <c r="D49" s="937">
        <f>SUM('107(b)'!D49*1.1)</f>
        <v>0</v>
      </c>
      <c r="E49" s="937">
        <f>SUM('107(b)'!E49*1.1)</f>
        <v>0</v>
      </c>
      <c r="F49" s="937">
        <f>SUM('107(b)'!F49*1.1)</f>
        <v>7.6076000000000006</v>
      </c>
      <c r="G49" s="937">
        <f>SUM('107(b)'!G49*1.1)</f>
        <v>1.61304</v>
      </c>
      <c r="H49" s="937">
        <f>SUM('107(b)'!H49*1.1)</f>
        <v>0</v>
      </c>
      <c r="I49" s="937">
        <f>SUM('107(b)'!I49*1.1)</f>
        <v>0</v>
      </c>
      <c r="J49" s="937">
        <f>SUM('107(b)'!J49*1.1)</f>
        <v>0</v>
      </c>
      <c r="K49" s="937">
        <f>SUM('107(b)'!K49*1.1)</f>
        <v>0</v>
      </c>
      <c r="L49" s="940"/>
      <c r="M49" s="604"/>
      <c r="N49" s="862">
        <f>SUM('107(b)'!N49*1.1)</f>
        <v>0</v>
      </c>
      <c r="O49" s="862">
        <f>SUM('107(b)'!O49*1.1)</f>
        <v>0</v>
      </c>
      <c r="P49" s="862">
        <f>SUM('107(b)'!P49*1.1)</f>
        <v>0</v>
      </c>
      <c r="Q49" s="862">
        <f>SUM('107(b)'!Q49*1.1)</f>
        <v>0</v>
      </c>
      <c r="R49" s="862">
        <f>SUM('107(b)'!R49*1.1)</f>
        <v>0</v>
      </c>
      <c r="S49" s="862">
        <f>SUM('107(b)'!S49*1.1)</f>
        <v>0</v>
      </c>
      <c r="T49" s="862">
        <f>SUM('107(b)'!T49*1.1)</f>
        <v>0</v>
      </c>
      <c r="U49" s="862">
        <f>SUM('107(b)'!U49*1.1)</f>
        <v>0</v>
      </c>
      <c r="V49" s="862">
        <f>SUM('107(b)'!V49*1.1)</f>
        <v>0</v>
      </c>
      <c r="W49" s="565"/>
      <c r="X49" s="601"/>
      <c r="Z49" s="860">
        <f t="shared" si="26"/>
        <v>67000</v>
      </c>
      <c r="AA49" s="860">
        <f t="shared" si="27"/>
        <v>10900</v>
      </c>
      <c r="AB49" s="860">
        <f t="shared" si="28"/>
        <v>66500</v>
      </c>
      <c r="AC49" s="860">
        <f t="shared" si="29"/>
        <v>14100</v>
      </c>
      <c r="AD49" s="860"/>
      <c r="AE49" s="860"/>
      <c r="AG49" s="860">
        <v>33500</v>
      </c>
      <c r="AH49" s="860">
        <v>5700</v>
      </c>
      <c r="AI49" s="860">
        <v>33500</v>
      </c>
      <c r="AJ49" s="860">
        <v>7300</v>
      </c>
      <c r="AK49" s="860"/>
      <c r="AL49" s="860"/>
    </row>
    <row r="50" spans="1:38" s="7" customFormat="1" ht="18.95" customHeight="1">
      <c r="A50" s="939"/>
      <c r="B50" s="855" t="s">
        <v>1312</v>
      </c>
      <c r="C50" s="937">
        <f>SUM('107(b)'!C50*1.1)</f>
        <v>17.0016</v>
      </c>
      <c r="D50" s="937">
        <f>SUM('107(b)'!D50*1.1)</f>
        <v>2.8776000000000002</v>
      </c>
      <c r="E50" s="937">
        <f>SUM('107(b)'!E50*1.1)</f>
        <v>0</v>
      </c>
      <c r="F50" s="937">
        <f>SUM('107(b)'!F50*1.1)</f>
        <v>9.3416399999999999</v>
      </c>
      <c r="G50" s="937">
        <f>SUM('107(b)'!G50*1.1)</f>
        <v>1.30284</v>
      </c>
      <c r="H50" s="937">
        <f>SUM('107(b)'!H50*1.1)</f>
        <v>0</v>
      </c>
      <c r="I50" s="937">
        <f>SUM('107(b)'!I50*1.1)</f>
        <v>5.0954200000000007</v>
      </c>
      <c r="J50" s="937">
        <f>SUM('107(b)'!J50*1.1)</f>
        <v>2.3261700000000003</v>
      </c>
      <c r="K50" s="937">
        <f>SUM('107(b)'!K50*1.1)</f>
        <v>0</v>
      </c>
      <c r="L50" s="940"/>
      <c r="M50" s="604"/>
      <c r="N50" s="862">
        <f>SUM('107(b)'!N50*1.1)</f>
        <v>25.616580000000003</v>
      </c>
      <c r="O50" s="862">
        <f>SUM('107(b)'!O50*1.1)</f>
        <v>0</v>
      </c>
      <c r="P50" s="862">
        <f>SUM('107(b)'!P50*1.1)</f>
        <v>0</v>
      </c>
      <c r="Q50" s="862">
        <f>SUM('107(b)'!Q50*1.1)</f>
        <v>0</v>
      </c>
      <c r="R50" s="862">
        <f>SUM('107(b)'!R50*1.1)</f>
        <v>0</v>
      </c>
      <c r="S50" s="862">
        <f>SUM('107(b)'!S50*1.1)</f>
        <v>0</v>
      </c>
      <c r="T50" s="862">
        <f>SUM('107(b)'!T50*1.1)</f>
        <v>0</v>
      </c>
      <c r="U50" s="862">
        <f>SUM('107(b)'!U50*1.1)</f>
        <v>0</v>
      </c>
      <c r="V50" s="862">
        <f>SUM('107(b)'!V50*1.1)</f>
        <v>0</v>
      </c>
      <c r="W50" s="565"/>
      <c r="X50" s="601"/>
      <c r="Z50" s="860">
        <f t="shared" si="26"/>
        <v>64400</v>
      </c>
      <c r="AA50" s="860">
        <f t="shared" si="27"/>
        <v>10900</v>
      </c>
      <c r="AB50" s="860">
        <f t="shared" si="28"/>
        <v>101100</v>
      </c>
      <c r="AC50" s="860">
        <f t="shared" si="29"/>
        <v>14100</v>
      </c>
      <c r="AD50" s="860"/>
      <c r="AE50" s="860"/>
      <c r="AG50" s="860">
        <v>32200</v>
      </c>
      <c r="AH50" s="860">
        <v>5700</v>
      </c>
      <c r="AI50" s="860">
        <v>50800</v>
      </c>
      <c r="AJ50" s="860">
        <v>7300</v>
      </c>
      <c r="AK50" s="860"/>
      <c r="AL50" s="860"/>
    </row>
    <row r="51" spans="1:38" s="7" customFormat="1" ht="18.95" customHeight="1">
      <c r="A51" s="939"/>
      <c r="B51" s="855" t="s">
        <v>1313</v>
      </c>
      <c r="C51" s="937">
        <f>SUM('107(b)'!C51*1.1)</f>
        <v>6.3756000000000004</v>
      </c>
      <c r="D51" s="937">
        <f>SUM('107(b)'!D51*1.1)</f>
        <v>1.0791000000000002</v>
      </c>
      <c r="E51" s="937">
        <f>SUM('107(b)'!E51*1.1)</f>
        <v>0</v>
      </c>
      <c r="F51" s="937">
        <f>SUM('107(b)'!F51*1.1)</f>
        <v>0</v>
      </c>
      <c r="G51" s="937">
        <f>SUM('107(b)'!G51*1.1)</f>
        <v>0</v>
      </c>
      <c r="H51" s="937">
        <f>SUM('107(b)'!H51*1.1)</f>
        <v>0</v>
      </c>
      <c r="I51" s="937">
        <f>SUM('107(b)'!I51*1.1)</f>
        <v>0</v>
      </c>
      <c r="J51" s="937">
        <f>SUM('107(b)'!J51*1.1)</f>
        <v>0</v>
      </c>
      <c r="K51" s="937">
        <f>SUM('107(b)'!K51*1.1)</f>
        <v>0</v>
      </c>
      <c r="L51" s="940"/>
      <c r="M51" s="604"/>
      <c r="N51" s="862">
        <f>SUM('107(b)'!N51*1.1)</f>
        <v>0</v>
      </c>
      <c r="O51" s="862">
        <f>SUM('107(b)'!O51*1.1)</f>
        <v>0</v>
      </c>
      <c r="P51" s="862">
        <f>SUM('107(b)'!P51*1.1)</f>
        <v>0</v>
      </c>
      <c r="Q51" s="862">
        <f>SUM('107(b)'!Q51*1.1)</f>
        <v>0</v>
      </c>
      <c r="R51" s="862">
        <f>SUM('107(b)'!R51*1.1)</f>
        <v>0</v>
      </c>
      <c r="S51" s="862">
        <f>SUM('107(b)'!S51*1.1)</f>
        <v>0</v>
      </c>
      <c r="T51" s="862">
        <f>SUM('107(b)'!T51*1.1)</f>
        <v>0</v>
      </c>
      <c r="U51" s="862">
        <f>SUM('107(b)'!U51*1.1)</f>
        <v>0</v>
      </c>
      <c r="V51" s="862">
        <f>SUM('107(b)'!V51*1.1)</f>
        <v>0</v>
      </c>
      <c r="W51" s="565"/>
      <c r="X51" s="601"/>
      <c r="Z51" s="860">
        <f t="shared" si="26"/>
        <v>64400</v>
      </c>
      <c r="AA51" s="860">
        <f t="shared" si="27"/>
        <v>10900</v>
      </c>
      <c r="AB51" s="860">
        <f t="shared" si="28"/>
        <v>66500</v>
      </c>
      <c r="AC51" s="860">
        <f t="shared" si="29"/>
        <v>14100</v>
      </c>
      <c r="AD51" s="860"/>
      <c r="AE51" s="860"/>
      <c r="AG51" s="860">
        <v>32200</v>
      </c>
      <c r="AH51" s="860">
        <v>5700</v>
      </c>
      <c r="AI51" s="860">
        <v>33500</v>
      </c>
      <c r="AJ51" s="860">
        <v>7300</v>
      </c>
      <c r="AK51" s="860"/>
      <c r="AL51" s="860"/>
    </row>
    <row r="52" spans="1:38" s="7" customFormat="1" ht="18.95" customHeight="1">
      <c r="A52" s="939">
        <v>3</v>
      </c>
      <c r="B52" s="855" t="s">
        <v>1344</v>
      </c>
      <c r="C52" s="937">
        <f>SUM('107(b)'!C52*1.1)</f>
        <v>1.7001600000000003</v>
      </c>
      <c r="D52" s="937">
        <f>SUM('107(b)'!D52*1.1)</f>
        <v>0.28776000000000002</v>
      </c>
      <c r="E52" s="937">
        <f>SUM('107(b)'!E52*1.1)</f>
        <v>1.9879200000000004</v>
      </c>
      <c r="F52" s="937">
        <f>SUM('107(b)'!F52*1.1)</f>
        <v>0</v>
      </c>
      <c r="G52" s="937">
        <f>SUM('107(b)'!G52*1.1)</f>
        <v>0</v>
      </c>
      <c r="H52" s="937">
        <f>SUM('107(b)'!H52*1.1)</f>
        <v>0</v>
      </c>
      <c r="I52" s="937">
        <f>SUM('107(b)'!I52*1.1)</f>
        <v>0</v>
      </c>
      <c r="J52" s="937">
        <f>SUM('107(b)'!J52*1.1)</f>
        <v>0</v>
      </c>
      <c r="K52" s="937">
        <f>SUM('107(b)'!K52*1.1)</f>
        <v>0</v>
      </c>
      <c r="L52" s="940">
        <f>E52+K52</f>
        <v>1.9879200000000004</v>
      </c>
      <c r="M52" s="604"/>
      <c r="N52" s="862">
        <f>SUM('107(b)'!N52*1.1)</f>
        <v>0</v>
      </c>
      <c r="O52" s="862">
        <f>SUM('107(b)'!O52*1.1)</f>
        <v>0</v>
      </c>
      <c r="P52" s="862">
        <f>SUM('107(b)'!P52*1.1)</f>
        <v>0</v>
      </c>
      <c r="Q52" s="862">
        <f>SUM('107(b)'!Q52*1.1)</f>
        <v>0</v>
      </c>
      <c r="R52" s="862">
        <f>SUM('107(b)'!R52*1.1)</f>
        <v>0</v>
      </c>
      <c r="S52" s="862">
        <f>SUM('107(b)'!S52*1.1)</f>
        <v>0</v>
      </c>
      <c r="T52" s="862">
        <f>SUM('107(b)'!T52*1.1)</f>
        <v>0</v>
      </c>
      <c r="U52" s="862">
        <f>SUM('107(b)'!U52*1.1)</f>
        <v>0</v>
      </c>
      <c r="V52" s="862">
        <f>SUM('107(b)'!V52*1.1)</f>
        <v>0</v>
      </c>
      <c r="W52" s="565">
        <f>P52+V52</f>
        <v>0</v>
      </c>
      <c r="X52" s="601">
        <f t="shared" si="3"/>
        <v>1.9879200000000004</v>
      </c>
      <c r="Z52" s="860">
        <f t="shared" si="26"/>
        <v>64400</v>
      </c>
      <c r="AA52" s="860">
        <f t="shared" si="27"/>
        <v>10900</v>
      </c>
      <c r="AB52" s="860">
        <f t="shared" si="28"/>
        <v>66500</v>
      </c>
      <c r="AC52" s="860">
        <f t="shared" si="29"/>
        <v>14100</v>
      </c>
      <c r="AD52" s="860"/>
      <c r="AE52" s="860"/>
      <c r="AG52" s="860">
        <v>32200</v>
      </c>
      <c r="AH52" s="860">
        <v>5700</v>
      </c>
      <c r="AI52" s="860">
        <v>33500</v>
      </c>
      <c r="AJ52" s="860">
        <v>7300</v>
      </c>
      <c r="AK52" s="860"/>
      <c r="AL52" s="860"/>
    </row>
    <row r="53" spans="1:38" s="7" customFormat="1" ht="18.95" customHeight="1">
      <c r="A53" s="939">
        <v>4</v>
      </c>
      <c r="B53" s="855" t="s">
        <v>423</v>
      </c>
      <c r="C53" s="937">
        <f>SUM('107(b)'!C53*1.1)</f>
        <v>7.7246400000000008</v>
      </c>
      <c r="D53" s="937">
        <f>SUM('107(b)'!D53*1.1)</f>
        <v>1.36686</v>
      </c>
      <c r="E53" s="937">
        <f>SUM('107(b)'!E53*1.1)</f>
        <v>9.0915000000000017</v>
      </c>
      <c r="F53" s="937">
        <f>SUM('107(b)'!F53*1.1)</f>
        <v>3.4729200000000002</v>
      </c>
      <c r="G53" s="937">
        <f>SUM('107(b)'!G53*1.1)</f>
        <v>0.55836000000000008</v>
      </c>
      <c r="H53" s="937">
        <f>SUM('107(b)'!H53*1.1)</f>
        <v>4.0312800000000006</v>
      </c>
      <c r="I53" s="937">
        <f>SUM('107(b)'!I53*1.1)</f>
        <v>3.3231000000000002</v>
      </c>
      <c r="J53" s="937">
        <f>SUM('107(b)'!J53*1.1)</f>
        <v>1.7723200000000001</v>
      </c>
      <c r="K53" s="937">
        <f>SUM('107(b)'!K53*1.1)</f>
        <v>5.0954200000000007</v>
      </c>
      <c r="L53" s="940">
        <f>E53+K53</f>
        <v>14.186920000000002</v>
      </c>
      <c r="M53" s="604"/>
      <c r="N53" s="862">
        <f>SUM('107(b)'!N53*1.1)</f>
        <v>0</v>
      </c>
      <c r="O53" s="862">
        <f>SUM('107(b)'!O53*1.1)</f>
        <v>0</v>
      </c>
      <c r="P53" s="862">
        <f>SUM('107(b)'!P53*1.1)</f>
        <v>0</v>
      </c>
      <c r="Q53" s="862">
        <f>SUM('107(b)'!Q53*1.1)</f>
        <v>0</v>
      </c>
      <c r="R53" s="862">
        <f>SUM('107(b)'!R53*1.1)</f>
        <v>0</v>
      </c>
      <c r="S53" s="862">
        <f>SUM('107(b)'!S53*1.1)</f>
        <v>0</v>
      </c>
      <c r="T53" s="862">
        <f>SUM('107(b)'!T53*1.1)</f>
        <v>0</v>
      </c>
      <c r="U53" s="862">
        <f>SUM('107(b)'!U53*1.1)</f>
        <v>0</v>
      </c>
      <c r="V53" s="862">
        <f>SUM('107(b)'!V53*1.1)</f>
        <v>0</v>
      </c>
      <c r="W53" s="565">
        <f>P53+V53</f>
        <v>0</v>
      </c>
      <c r="X53" s="601">
        <f t="shared" si="3"/>
        <v>14.186920000000002</v>
      </c>
      <c r="Z53" s="860">
        <f t="shared" si="26"/>
        <v>61600</v>
      </c>
      <c r="AA53" s="860">
        <f t="shared" si="27"/>
        <v>10900</v>
      </c>
      <c r="AB53" s="860">
        <f t="shared" si="28"/>
        <v>87700</v>
      </c>
      <c r="AC53" s="860">
        <f t="shared" si="29"/>
        <v>14100</v>
      </c>
      <c r="AD53" s="860"/>
      <c r="AE53" s="860"/>
      <c r="AG53" s="860">
        <v>30800</v>
      </c>
      <c r="AH53" s="860">
        <v>5700</v>
      </c>
      <c r="AI53" s="860">
        <v>44100</v>
      </c>
      <c r="AJ53" s="860">
        <v>7300</v>
      </c>
      <c r="AK53" s="860"/>
      <c r="AL53" s="860"/>
    </row>
    <row r="54" spans="1:38" s="7" customFormat="1" ht="18.95" customHeight="1">
      <c r="A54" s="939">
        <v>5</v>
      </c>
      <c r="B54" s="855"/>
      <c r="C54" s="937">
        <f>SUM('107(b)'!C54*1.1)</f>
        <v>0</v>
      </c>
      <c r="D54" s="937">
        <f>SUM('107(b)'!D54*1.1)</f>
        <v>0</v>
      </c>
      <c r="E54" s="937">
        <f>SUM('107(b)'!E54*1.1)</f>
        <v>0</v>
      </c>
      <c r="F54" s="937">
        <f>SUM('107(b)'!F54*1.1)</f>
        <v>0</v>
      </c>
      <c r="G54" s="937">
        <f>SUM('107(b)'!G54*1.1)</f>
        <v>0</v>
      </c>
      <c r="H54" s="937">
        <f>SUM('107(b)'!H54*1.1)</f>
        <v>0</v>
      </c>
      <c r="I54" s="937">
        <f>SUM('107(b)'!I54*1.1)</f>
        <v>0</v>
      </c>
      <c r="J54" s="937">
        <f>SUM('107(b)'!J54*1.1)</f>
        <v>0</v>
      </c>
      <c r="K54" s="937">
        <f>SUM('107(b)'!K54*1.1)</f>
        <v>0</v>
      </c>
      <c r="L54" s="940">
        <f>E54+K54</f>
        <v>0</v>
      </c>
      <c r="M54" s="604"/>
      <c r="N54" s="862">
        <f>SUM('107(b)'!N54*1.1)</f>
        <v>0</v>
      </c>
      <c r="O54" s="862">
        <f>SUM('107(b)'!O54*1.1)</f>
        <v>0</v>
      </c>
      <c r="P54" s="862">
        <f>SUM('107(b)'!P54*1.1)</f>
        <v>0</v>
      </c>
      <c r="Q54" s="862">
        <f>SUM('107(b)'!Q54*1.1)</f>
        <v>0</v>
      </c>
      <c r="R54" s="862">
        <f>SUM('107(b)'!R54*1.1)</f>
        <v>0</v>
      </c>
      <c r="S54" s="862">
        <f>SUM('107(b)'!S54*1.1)</f>
        <v>0</v>
      </c>
      <c r="T54" s="862">
        <f>SUM('107(b)'!T54*1.1)</f>
        <v>0</v>
      </c>
      <c r="U54" s="862">
        <f>SUM('107(b)'!U54*1.1)</f>
        <v>0</v>
      </c>
      <c r="V54" s="862">
        <f>SUM('107(b)'!V54*1.1)</f>
        <v>0</v>
      </c>
      <c r="W54" s="565">
        <f>P54+V54</f>
        <v>0</v>
      </c>
      <c r="X54" s="601">
        <f t="shared" si="3"/>
        <v>0</v>
      </c>
      <c r="Z54" s="860"/>
      <c r="AA54" s="860"/>
      <c r="AB54" s="860"/>
      <c r="AC54" s="860"/>
      <c r="AD54" s="860"/>
      <c r="AE54" s="860"/>
      <c r="AG54" s="860"/>
      <c r="AH54" s="860"/>
      <c r="AI54" s="860"/>
      <c r="AJ54" s="860"/>
      <c r="AK54" s="860"/>
      <c r="AL54" s="860"/>
    </row>
    <row r="55" spans="1:38" s="7" customFormat="1" ht="18.95" customHeight="1">
      <c r="A55" s="941">
        <v>6</v>
      </c>
      <c r="B55" s="942"/>
      <c r="C55" s="937">
        <f>SUM('107(b)'!C55*1.1)</f>
        <v>0</v>
      </c>
      <c r="D55" s="937">
        <f>SUM('107(b)'!D55*1.1)</f>
        <v>0</v>
      </c>
      <c r="E55" s="937">
        <f>SUM('107(b)'!E55*1.1)</f>
        <v>0</v>
      </c>
      <c r="F55" s="937">
        <f>SUM('107(b)'!F55*1.1)</f>
        <v>0</v>
      </c>
      <c r="G55" s="937">
        <f>SUM('107(b)'!G55*1.1)</f>
        <v>0</v>
      </c>
      <c r="H55" s="937">
        <f>SUM('107(b)'!H55*1.1)</f>
        <v>0</v>
      </c>
      <c r="I55" s="937">
        <f>SUM('107(b)'!I55*1.1)</f>
        <v>15.17549</v>
      </c>
      <c r="J55" s="937">
        <f>SUM('107(b)'!J55*1.1)</f>
        <v>7.2000500000000001</v>
      </c>
      <c r="K55" s="937">
        <f>SUM('107(b)'!K55*1.1)</f>
        <v>22.375540000000001</v>
      </c>
      <c r="L55" s="940">
        <f>E55+K55</f>
        <v>22.375540000000001</v>
      </c>
      <c r="M55" s="604"/>
      <c r="N55" s="862">
        <f>SUM('107(b)'!N55*1.1)</f>
        <v>0</v>
      </c>
      <c r="O55" s="862">
        <f>SUM('107(b)'!O55*1.1)</f>
        <v>0</v>
      </c>
      <c r="P55" s="862">
        <f>SUM('107(b)'!P55*1.1)</f>
        <v>0</v>
      </c>
      <c r="Q55" s="862">
        <f>SUM('107(b)'!Q55*1.1)</f>
        <v>0</v>
      </c>
      <c r="R55" s="862">
        <f>SUM('107(b)'!R55*1.1)</f>
        <v>0</v>
      </c>
      <c r="S55" s="862">
        <f>SUM('107(b)'!S55*1.1)</f>
        <v>0</v>
      </c>
      <c r="T55" s="862">
        <f>SUM('107(b)'!T55*1.1)</f>
        <v>0</v>
      </c>
      <c r="U55" s="862">
        <f>SUM('107(b)'!U55*1.1)</f>
        <v>0</v>
      </c>
      <c r="V55" s="862">
        <f>SUM('107(b)'!V55*1.1)</f>
        <v>0</v>
      </c>
      <c r="W55" s="565">
        <f>P55+V55</f>
        <v>0</v>
      </c>
      <c r="X55" s="601">
        <f t="shared" si="3"/>
        <v>22.375540000000001</v>
      </c>
      <c r="Z55" s="860"/>
      <c r="AA55" s="860"/>
      <c r="AB55" s="860"/>
      <c r="AC55" s="860"/>
      <c r="AD55" s="860"/>
      <c r="AE55" s="860"/>
      <c r="AG55" s="860"/>
      <c r="AH55" s="860"/>
      <c r="AI55" s="860"/>
      <c r="AJ55" s="860"/>
      <c r="AK55" s="860"/>
      <c r="AL55" s="860"/>
    </row>
    <row r="56" spans="1:38" ht="20.100000000000001" customHeight="1">
      <c r="A56" s="1584" t="s">
        <v>752</v>
      </c>
      <c r="B56" s="1585"/>
      <c r="C56" s="943">
        <f>SUM(C46:C54)</f>
        <v>68.645499999999998</v>
      </c>
      <c r="D56" s="943">
        <f t="shared" ref="D56:L56" si="30">SUM(D46:D54)</f>
        <v>11.114730000000002</v>
      </c>
      <c r="E56" s="943">
        <f t="shared" si="30"/>
        <v>52.426330000000014</v>
      </c>
      <c r="F56" s="943">
        <f t="shared" si="30"/>
        <v>49.230499999999999</v>
      </c>
      <c r="G56" s="943">
        <f t="shared" si="30"/>
        <v>8.4037799999999994</v>
      </c>
      <c r="H56" s="943">
        <f t="shared" si="30"/>
        <v>27.307280000000006</v>
      </c>
      <c r="I56" s="944">
        <f t="shared" si="30"/>
        <v>15.175490000000002</v>
      </c>
      <c r="J56" s="944">
        <f t="shared" si="30"/>
        <v>7.2000500000000009</v>
      </c>
      <c r="K56" s="945">
        <f t="shared" si="30"/>
        <v>11.630850000000002</v>
      </c>
      <c r="L56" s="944">
        <f t="shared" si="30"/>
        <v>83.317740000000015</v>
      </c>
      <c r="M56" s="604"/>
      <c r="N56" s="864">
        <f>SUM(N46:N54)</f>
        <v>67.108029999999999</v>
      </c>
      <c r="O56" s="560">
        <f t="shared" ref="O56:W56" si="31">SUM(O46:O54)</f>
        <v>0</v>
      </c>
      <c r="P56" s="560">
        <f t="shared" si="31"/>
        <v>41.49145</v>
      </c>
      <c r="Q56" s="864">
        <f t="shared" si="31"/>
        <v>14.602500000000001</v>
      </c>
      <c r="R56" s="560">
        <f t="shared" si="31"/>
        <v>0</v>
      </c>
      <c r="S56" s="864">
        <f t="shared" si="31"/>
        <v>14.602500000000001</v>
      </c>
      <c r="T56" s="560">
        <f t="shared" si="31"/>
        <v>0</v>
      </c>
      <c r="U56" s="560">
        <f t="shared" si="31"/>
        <v>0</v>
      </c>
      <c r="V56" s="575">
        <f t="shared" si="31"/>
        <v>0</v>
      </c>
      <c r="W56" s="560">
        <f t="shared" si="31"/>
        <v>56.09395</v>
      </c>
      <c r="X56" s="601">
        <f t="shared" si="3"/>
        <v>139.41169000000002</v>
      </c>
      <c r="AG56" s="857"/>
      <c r="AH56" s="857"/>
      <c r="AI56" s="857"/>
      <c r="AJ56" s="857"/>
      <c r="AK56" s="857"/>
      <c r="AL56" s="857"/>
    </row>
    <row r="57" spans="1:38" ht="15" customHeight="1">
      <c r="A57" s="1586" t="s">
        <v>890</v>
      </c>
      <c r="B57" s="1587"/>
      <c r="C57" s="1587"/>
      <c r="D57" s="1587"/>
      <c r="E57" s="1587"/>
      <c r="F57" s="1587"/>
      <c r="G57" s="1587"/>
      <c r="H57" s="1587"/>
      <c r="I57" s="1587"/>
      <c r="J57" s="1587"/>
      <c r="K57" s="1587"/>
      <c r="L57" s="1588"/>
      <c r="M57" s="604"/>
      <c r="N57" s="609"/>
      <c r="O57" s="609"/>
      <c r="P57" s="609"/>
      <c r="Q57" s="609"/>
      <c r="R57" s="609"/>
      <c r="S57" s="609"/>
      <c r="T57" s="609"/>
      <c r="U57" s="609"/>
      <c r="V57" s="609"/>
      <c r="W57" s="609"/>
      <c r="X57" s="600"/>
      <c r="AG57" s="857"/>
      <c r="AH57" s="857"/>
      <c r="AI57" s="857"/>
      <c r="AJ57" s="857"/>
      <c r="AK57" s="857"/>
      <c r="AL57" s="857"/>
    </row>
    <row r="58" spans="1:38" s="7" customFormat="1" ht="18.95" customHeight="1">
      <c r="A58" s="936">
        <v>1</v>
      </c>
      <c r="B58" s="855" t="s">
        <v>1325</v>
      </c>
      <c r="C58" s="937">
        <f>+('107 (a)'!G56*'107(d)'!Z58)/1000000</f>
        <v>10.78</v>
      </c>
      <c r="D58" s="937">
        <f>+('107 (a)'!G56*'107(d)'!AA58)/1000000</f>
        <v>1.9075</v>
      </c>
      <c r="E58" s="946">
        <f>C58+D58</f>
        <v>12.6875</v>
      </c>
      <c r="F58" s="946">
        <f>+('107 (a)'!H56*'107(d)'!AB58)/1000000</f>
        <v>8.4923999999999999</v>
      </c>
      <c r="G58" s="946">
        <f>+('107 (a)'!H56*'107(d)'!AC58)/1000000</f>
        <v>1.1843999999999999</v>
      </c>
      <c r="H58" s="946">
        <f>F58+G58</f>
        <v>9.6768000000000001</v>
      </c>
      <c r="I58" s="937">
        <f>+('107 (a)'!J56*100700)/1000000</f>
        <v>2.9203000000000001</v>
      </c>
      <c r="J58" s="937">
        <f>+('107 (a)'!K56*100700)/1000000</f>
        <v>3.8266</v>
      </c>
      <c r="K58" s="947">
        <f>I58+J58</f>
        <v>6.7469000000000001</v>
      </c>
      <c r="L58" s="938">
        <f>E58+K58+H58</f>
        <v>29.1112</v>
      </c>
      <c r="M58" s="604"/>
      <c r="N58" s="887">
        <f>+('107 (a)'!S56*'107 (a)'!AB56)/1000000</f>
        <v>3.6715</v>
      </c>
      <c r="O58" s="271"/>
      <c r="P58" s="606">
        <f>N58+O58</f>
        <v>3.6715</v>
      </c>
      <c r="Q58" s="888">
        <f>+('107 (a)'!T56*'107 (a)'!AC56)/1000000</f>
        <v>1.4624999999999999</v>
      </c>
      <c r="R58" s="606"/>
      <c r="S58" s="606">
        <f>Q58+R58</f>
        <v>1.4624999999999999</v>
      </c>
      <c r="T58" s="271"/>
      <c r="U58" s="271"/>
      <c r="V58" s="607">
        <f>T58+U58</f>
        <v>0</v>
      </c>
      <c r="W58" s="608">
        <f>P58+V58+S58</f>
        <v>5.1340000000000003</v>
      </c>
      <c r="X58" s="601">
        <f t="shared" si="3"/>
        <v>34.245199999999997</v>
      </c>
      <c r="Z58" s="860">
        <f t="shared" ref="Z58:Z70" si="32">SUM(AG58*2)</f>
        <v>61600</v>
      </c>
      <c r="AA58" s="860">
        <f t="shared" ref="AA58:AA70" si="33">SUM(AH58*2)-500</f>
        <v>10900</v>
      </c>
      <c r="AB58" s="860">
        <f t="shared" ref="AB58:AB70" si="34">SUM(AI58*2)-500</f>
        <v>101100</v>
      </c>
      <c r="AC58" s="860">
        <f t="shared" ref="AC58:AC70" si="35">SUM(AJ58*2)-500</f>
        <v>14100</v>
      </c>
      <c r="AD58" s="860"/>
      <c r="AE58" s="860"/>
      <c r="AG58" s="860">
        <v>30800</v>
      </c>
      <c r="AH58" s="860">
        <v>5700</v>
      </c>
      <c r="AI58" s="860">
        <v>50800</v>
      </c>
      <c r="AJ58" s="860">
        <v>7300</v>
      </c>
      <c r="AK58" s="860"/>
      <c r="AL58" s="860"/>
    </row>
    <row r="59" spans="1:38" s="7" customFormat="1" ht="18.95" customHeight="1">
      <c r="A59" s="939">
        <v>2</v>
      </c>
      <c r="B59" s="855" t="s">
        <v>406</v>
      </c>
      <c r="C59" s="937">
        <f>SUM('107(b)'!C59*1.1)</f>
        <v>13.884640000000003</v>
      </c>
      <c r="D59" s="937">
        <f>SUM('107(b)'!D59*1.1)</f>
        <v>2.3500400000000004</v>
      </c>
      <c r="E59" s="937">
        <f>SUM('107(b)'!E59*1.1)</f>
        <v>16.234680000000001</v>
      </c>
      <c r="F59" s="937">
        <f>SUM('107(b)'!F59*1.1)</f>
        <v>15.346980000000002</v>
      </c>
      <c r="G59" s="937">
        <f>SUM('107(b)'!G59*1.1)</f>
        <v>2.1403799999999999</v>
      </c>
      <c r="H59" s="937">
        <f>SUM('107(b)'!H59*1.1)</f>
        <v>17.487360000000002</v>
      </c>
      <c r="I59" s="937">
        <f>SUM('107(b)'!I59*1.1)</f>
        <v>19.052440000000001</v>
      </c>
      <c r="J59" s="937">
        <f>SUM('107(b)'!J59*1.1)</f>
        <v>6.0923500000000006</v>
      </c>
      <c r="K59" s="947">
        <f t="shared" ref="K59:K70" si="36">I59+J59</f>
        <v>25.14479</v>
      </c>
      <c r="L59" s="938">
        <f t="shared" ref="L59:L70" si="37">E59+K59+H59</f>
        <v>58.86683</v>
      </c>
      <c r="M59" s="604"/>
      <c r="N59" s="862">
        <f>SUM('107(b)'!N59*1.1)</f>
        <v>30.462960000000002</v>
      </c>
      <c r="O59" s="862">
        <f>SUM('107(b)'!O59*1.1)</f>
        <v>0</v>
      </c>
      <c r="P59" s="862">
        <f>SUM('107(b)'!P59*1.1)</f>
        <v>30.462960000000002</v>
      </c>
      <c r="Q59" s="862">
        <f>SUM('107(b)'!Q59*1.1)</f>
        <v>6.4350000000000005</v>
      </c>
      <c r="R59" s="862">
        <f>SUM('107(b)'!R59*1.1)</f>
        <v>0</v>
      </c>
      <c r="S59" s="862">
        <f>SUM('107(b)'!S59*1.1)</f>
        <v>6.4350000000000005</v>
      </c>
      <c r="T59" s="862">
        <f>SUM('107(b)'!T59*1.1)</f>
        <v>0</v>
      </c>
      <c r="U59" s="862">
        <f>SUM('107(b)'!U59*1.1)</f>
        <v>0</v>
      </c>
      <c r="V59" s="862">
        <f>SUM('107(b)'!V59*1.1)</f>
        <v>0</v>
      </c>
      <c r="W59" s="608">
        <f t="shared" ref="W59:W70" si="38">P59+V59+S59</f>
        <v>36.897960000000005</v>
      </c>
      <c r="X59" s="601">
        <f t="shared" si="3"/>
        <v>95.764790000000005</v>
      </c>
      <c r="Z59" s="860">
        <f t="shared" si="32"/>
        <v>64400</v>
      </c>
      <c r="AA59" s="860">
        <f t="shared" si="33"/>
        <v>10900</v>
      </c>
      <c r="AB59" s="860">
        <f t="shared" si="34"/>
        <v>101100</v>
      </c>
      <c r="AC59" s="860">
        <f t="shared" si="35"/>
        <v>14100</v>
      </c>
      <c r="AD59" s="860"/>
      <c r="AE59" s="860"/>
      <c r="AG59" s="860">
        <v>32200</v>
      </c>
      <c r="AH59" s="860">
        <v>5700</v>
      </c>
      <c r="AI59" s="860">
        <v>50800</v>
      </c>
      <c r="AJ59" s="860">
        <v>7300</v>
      </c>
      <c r="AK59" s="860"/>
      <c r="AL59" s="860"/>
    </row>
    <row r="60" spans="1:38" s="7" customFormat="1" ht="18.95" customHeight="1">
      <c r="A60" s="936">
        <v>3</v>
      </c>
      <c r="B60" s="855" t="s">
        <v>1327</v>
      </c>
      <c r="C60" s="937">
        <f>SUM('107(b)'!C60*1.1)</f>
        <v>0</v>
      </c>
      <c r="D60" s="937">
        <f>SUM('107(b)'!D60*1.1)</f>
        <v>0</v>
      </c>
      <c r="E60" s="937">
        <f>SUM('107(b)'!E60*1.1)</f>
        <v>0</v>
      </c>
      <c r="F60" s="937">
        <f>SUM('107(b)'!F60*1.1)</f>
        <v>0</v>
      </c>
      <c r="G60" s="937">
        <f>SUM('107(b)'!G60*1.1)</f>
        <v>0</v>
      </c>
      <c r="H60" s="937">
        <f>SUM('107(b)'!H60*1.1)</f>
        <v>0</v>
      </c>
      <c r="I60" s="937">
        <f>SUM('107(b)'!I60*1.1)</f>
        <v>1.44001</v>
      </c>
      <c r="J60" s="937">
        <f>SUM('107(b)'!J60*1.1)</f>
        <v>0.66461999999999999</v>
      </c>
      <c r="K60" s="947">
        <f t="shared" si="36"/>
        <v>2.1046300000000002</v>
      </c>
      <c r="L60" s="948">
        <f t="shared" si="37"/>
        <v>2.1046300000000002</v>
      </c>
      <c r="M60" s="604"/>
      <c r="N60" s="862">
        <f>SUM('107(b)'!N60*1.1)</f>
        <v>0</v>
      </c>
      <c r="O60" s="862">
        <f>SUM('107(b)'!O60*1.1)</f>
        <v>0</v>
      </c>
      <c r="P60" s="862">
        <f>SUM('107(b)'!P60*1.1)</f>
        <v>0</v>
      </c>
      <c r="Q60" s="862">
        <f>SUM('107(b)'!Q60*1.1)</f>
        <v>0</v>
      </c>
      <c r="R60" s="862">
        <f>SUM('107(b)'!R60*1.1)</f>
        <v>0</v>
      </c>
      <c r="S60" s="862">
        <f>SUM('107(b)'!S60*1.1)</f>
        <v>0</v>
      </c>
      <c r="T60" s="862">
        <f>SUM('107(b)'!T60*1.1)</f>
        <v>0</v>
      </c>
      <c r="U60" s="862">
        <f>SUM('107(b)'!U60*1.1)</f>
        <v>0</v>
      </c>
      <c r="V60" s="862">
        <f>SUM('107(b)'!V60*1.1)</f>
        <v>0</v>
      </c>
      <c r="W60" s="608">
        <f t="shared" si="38"/>
        <v>0</v>
      </c>
      <c r="X60" s="601">
        <f t="shared" si="3"/>
        <v>2.1046300000000002</v>
      </c>
      <c r="Z60" s="860">
        <f t="shared" si="32"/>
        <v>61600</v>
      </c>
      <c r="AA60" s="860">
        <f t="shared" si="33"/>
        <v>10900</v>
      </c>
      <c r="AB60" s="860">
        <f t="shared" si="34"/>
        <v>101100</v>
      </c>
      <c r="AC60" s="860">
        <f t="shared" si="35"/>
        <v>14100</v>
      </c>
      <c r="AD60" s="860"/>
      <c r="AE60" s="860"/>
      <c r="AG60" s="860">
        <v>30800</v>
      </c>
      <c r="AH60" s="860">
        <v>5700</v>
      </c>
      <c r="AI60" s="860">
        <v>50800</v>
      </c>
      <c r="AJ60" s="860">
        <v>7300</v>
      </c>
      <c r="AK60" s="860"/>
      <c r="AL60" s="860"/>
    </row>
    <row r="61" spans="1:38" s="7" customFormat="1" ht="18.95" customHeight="1">
      <c r="A61" s="939">
        <v>4</v>
      </c>
      <c r="B61" s="855" t="s">
        <v>1328</v>
      </c>
      <c r="C61" s="937">
        <f>SUM('107(b)'!C61*1.1)</f>
        <v>10.164000000000001</v>
      </c>
      <c r="D61" s="937">
        <f>SUM('107(b)'!D61*1.1)</f>
        <v>1.7985000000000002</v>
      </c>
      <c r="E61" s="937">
        <f>SUM('107(b)'!E61*1.1)</f>
        <v>11.9625</v>
      </c>
      <c r="F61" s="937">
        <f>SUM('107(b)'!F61*1.1)</f>
        <v>8.1851000000000003</v>
      </c>
      <c r="G61" s="937">
        <f>SUM('107(b)'!G61*1.1)</f>
        <v>1.0857000000000001</v>
      </c>
      <c r="H61" s="937">
        <f>SUM('107(b)'!H61*1.1)</f>
        <v>9.2707999999999995</v>
      </c>
      <c r="I61" s="937">
        <f>SUM('107(b)'!I61*1.1)</f>
        <v>7.3108200000000005</v>
      </c>
      <c r="J61" s="937">
        <f>SUM('107(b)'!J61*1.1)</f>
        <v>4.541570000000001</v>
      </c>
      <c r="K61" s="947">
        <f t="shared" si="36"/>
        <v>11.852390000000002</v>
      </c>
      <c r="L61" s="948">
        <f t="shared" si="37"/>
        <v>33.08569</v>
      </c>
      <c r="M61" s="604"/>
      <c r="N61" s="862">
        <f>SUM('107(b)'!N61*1.1)</f>
        <v>4.0386500000000005</v>
      </c>
      <c r="O61" s="862">
        <f>SUM('107(b)'!O61*1.1)</f>
        <v>0</v>
      </c>
      <c r="P61" s="862">
        <f>SUM('107(b)'!P61*1.1)</f>
        <v>4.0386500000000005</v>
      </c>
      <c r="Q61" s="862">
        <f>SUM('107(b)'!Q61*1.1)</f>
        <v>0</v>
      </c>
      <c r="R61" s="862">
        <f>SUM('107(b)'!R61*1.1)</f>
        <v>0</v>
      </c>
      <c r="S61" s="862">
        <f>SUM('107(b)'!S61*1.1)</f>
        <v>0</v>
      </c>
      <c r="T61" s="862">
        <f>SUM('107(b)'!T61*1.1)</f>
        <v>0</v>
      </c>
      <c r="U61" s="862">
        <f>SUM('107(b)'!U61*1.1)</f>
        <v>0</v>
      </c>
      <c r="V61" s="862">
        <f>SUM('107(b)'!V61*1.1)</f>
        <v>0</v>
      </c>
      <c r="W61" s="608">
        <f t="shared" si="38"/>
        <v>4.0386500000000005</v>
      </c>
      <c r="X61" s="601">
        <f t="shared" si="3"/>
        <v>37.124340000000004</v>
      </c>
      <c r="Z61" s="860">
        <f t="shared" si="32"/>
        <v>61600</v>
      </c>
      <c r="AA61" s="860">
        <f t="shared" si="33"/>
        <v>10900</v>
      </c>
      <c r="AB61" s="860">
        <f t="shared" si="34"/>
        <v>106300</v>
      </c>
      <c r="AC61" s="860">
        <f t="shared" si="35"/>
        <v>14100</v>
      </c>
      <c r="AD61" s="860"/>
      <c r="AE61" s="860"/>
      <c r="AG61" s="860">
        <v>30800</v>
      </c>
      <c r="AH61" s="860">
        <v>5700</v>
      </c>
      <c r="AI61" s="860">
        <v>53400</v>
      </c>
      <c r="AJ61" s="860">
        <v>7300</v>
      </c>
      <c r="AK61" s="860"/>
      <c r="AL61" s="860"/>
    </row>
    <row r="62" spans="1:38" s="7" customFormat="1" ht="18.95" customHeight="1">
      <c r="A62" s="936">
        <v>5</v>
      </c>
      <c r="B62" s="855" t="s">
        <v>1326</v>
      </c>
      <c r="C62" s="937">
        <f>SUM('107(b)'!C62*1.1)</f>
        <v>11.586960000000001</v>
      </c>
      <c r="D62" s="937">
        <f>SUM('107(b)'!D62*1.1)</f>
        <v>2.0502899999999999</v>
      </c>
      <c r="E62" s="937">
        <f>SUM('107(b)'!E62*1.1)</f>
        <v>13.63725</v>
      </c>
      <c r="F62" s="937">
        <f>SUM('107(b)'!F62*1.1)</f>
        <v>0</v>
      </c>
      <c r="G62" s="937">
        <f>SUM('107(b)'!G62*1.1)</f>
        <v>0</v>
      </c>
      <c r="H62" s="937">
        <f>SUM('107(b)'!H62*1.1)</f>
        <v>0</v>
      </c>
      <c r="I62" s="937">
        <f>SUM('107(b)'!I62*1.1)</f>
        <v>5.76004</v>
      </c>
      <c r="J62" s="937">
        <f>SUM('107(b)'!J62*1.1)</f>
        <v>4.7631100000000002</v>
      </c>
      <c r="K62" s="947">
        <f t="shared" si="36"/>
        <v>10.523150000000001</v>
      </c>
      <c r="L62" s="948">
        <f t="shared" si="37"/>
        <v>24.160400000000003</v>
      </c>
      <c r="M62" s="604"/>
      <c r="N62" s="862">
        <f>SUM('107(b)'!N62*1.1)</f>
        <v>18.116230000000002</v>
      </c>
      <c r="O62" s="862">
        <f>SUM('107(b)'!O62*1.1)</f>
        <v>0</v>
      </c>
      <c r="P62" s="862">
        <f>SUM('107(b)'!P62*1.1)</f>
        <v>18.116230000000002</v>
      </c>
      <c r="Q62" s="862">
        <f>SUM('107(b)'!Q62*1.1)</f>
        <v>0</v>
      </c>
      <c r="R62" s="862">
        <f>SUM('107(b)'!R62*1.1)</f>
        <v>0</v>
      </c>
      <c r="S62" s="862">
        <f>SUM('107(b)'!S62*1.1)</f>
        <v>0</v>
      </c>
      <c r="T62" s="862">
        <f>SUM('107(b)'!T62*1.1)</f>
        <v>0</v>
      </c>
      <c r="U62" s="862">
        <f>SUM('107(b)'!U62*1.1)</f>
        <v>0</v>
      </c>
      <c r="V62" s="862">
        <f>SUM('107(b)'!V62*1.1)</f>
        <v>0</v>
      </c>
      <c r="W62" s="608">
        <f t="shared" si="38"/>
        <v>18.116230000000002</v>
      </c>
      <c r="X62" s="601">
        <f t="shared" si="3"/>
        <v>42.276630000000004</v>
      </c>
      <c r="Z62" s="860">
        <f t="shared" si="32"/>
        <v>61600</v>
      </c>
      <c r="AA62" s="860">
        <f t="shared" si="33"/>
        <v>10900</v>
      </c>
      <c r="AB62" s="860">
        <f t="shared" si="34"/>
        <v>106300</v>
      </c>
      <c r="AC62" s="860">
        <f t="shared" si="35"/>
        <v>14100</v>
      </c>
      <c r="AD62" s="860"/>
      <c r="AE62" s="860"/>
      <c r="AG62" s="860">
        <v>30800</v>
      </c>
      <c r="AH62" s="860">
        <v>5700</v>
      </c>
      <c r="AI62" s="860">
        <v>53400</v>
      </c>
      <c r="AJ62" s="860">
        <v>7300</v>
      </c>
      <c r="AK62" s="860"/>
      <c r="AL62" s="860"/>
    </row>
    <row r="63" spans="1:38" s="7" customFormat="1" ht="18.95" customHeight="1">
      <c r="A63" s="939">
        <v>6</v>
      </c>
      <c r="B63" s="855" t="s">
        <v>432</v>
      </c>
      <c r="C63" s="937">
        <f>SUM('107(b)'!C63*1.1)</f>
        <v>11.315920000000002</v>
      </c>
      <c r="D63" s="937">
        <f>SUM('107(b)'!D63*1.1)</f>
        <v>2.0023300000000002</v>
      </c>
      <c r="E63" s="937">
        <f>SUM('107(b)'!E63*1.1)</f>
        <v>13.318250000000001</v>
      </c>
      <c r="F63" s="937">
        <f>SUM('107(b)'!F63*1.1)</f>
        <v>0</v>
      </c>
      <c r="G63" s="937">
        <f>SUM('107(b)'!G63*1.1)</f>
        <v>0</v>
      </c>
      <c r="H63" s="937">
        <f>SUM('107(b)'!H63*1.1)</f>
        <v>0</v>
      </c>
      <c r="I63" s="937">
        <f>SUM('107(b)'!I63*1.1)</f>
        <v>0</v>
      </c>
      <c r="J63" s="937">
        <f>SUM('107(b)'!J63*1.1)</f>
        <v>0</v>
      </c>
      <c r="K63" s="947">
        <f t="shared" si="36"/>
        <v>0</v>
      </c>
      <c r="L63" s="948">
        <f t="shared" si="37"/>
        <v>13.318250000000001</v>
      </c>
      <c r="M63" s="604"/>
      <c r="N63" s="862">
        <f>SUM('107(b)'!N63*1.1)</f>
        <v>19.616299999999999</v>
      </c>
      <c r="O63" s="862">
        <f>SUM('107(b)'!O63*1.1)</f>
        <v>0</v>
      </c>
      <c r="P63" s="862">
        <f>SUM('107(b)'!P63*1.1)</f>
        <v>19.616299999999999</v>
      </c>
      <c r="Q63" s="862">
        <f>SUM('107(b)'!Q63*1.1)</f>
        <v>0</v>
      </c>
      <c r="R63" s="862">
        <f>SUM('107(b)'!R63*1.1)</f>
        <v>0</v>
      </c>
      <c r="S63" s="862">
        <f>SUM('107(b)'!S63*1.1)</f>
        <v>0</v>
      </c>
      <c r="T63" s="862">
        <f>SUM('107(b)'!T63*1.1)</f>
        <v>0</v>
      </c>
      <c r="U63" s="862">
        <f>SUM('107(b)'!U63*1.1)</f>
        <v>0</v>
      </c>
      <c r="V63" s="862">
        <f>SUM('107(b)'!V63*1.1)</f>
        <v>0</v>
      </c>
      <c r="W63" s="608">
        <f t="shared" si="38"/>
        <v>19.616299999999999</v>
      </c>
      <c r="X63" s="601">
        <f t="shared" si="3"/>
        <v>32.934550000000002</v>
      </c>
      <c r="Z63" s="860">
        <f t="shared" si="32"/>
        <v>61600</v>
      </c>
      <c r="AA63" s="860">
        <f t="shared" si="33"/>
        <v>10900</v>
      </c>
      <c r="AB63" s="860">
        <f t="shared" si="34"/>
        <v>106300</v>
      </c>
      <c r="AC63" s="860">
        <f t="shared" si="35"/>
        <v>14100</v>
      </c>
      <c r="AD63" s="860"/>
      <c r="AE63" s="860"/>
      <c r="AG63" s="860">
        <v>30800</v>
      </c>
      <c r="AH63" s="860">
        <v>5700</v>
      </c>
      <c r="AI63" s="860">
        <v>53400</v>
      </c>
      <c r="AJ63" s="860">
        <v>7300</v>
      </c>
      <c r="AK63" s="860"/>
      <c r="AL63" s="860"/>
    </row>
    <row r="64" spans="1:38" s="7" customFormat="1" ht="18.95" customHeight="1">
      <c r="A64" s="936">
        <v>7</v>
      </c>
      <c r="B64" s="855" t="s">
        <v>1329</v>
      </c>
      <c r="C64" s="937">
        <f>SUM('107(b)'!C64*1.1)</f>
        <v>10.77384</v>
      </c>
      <c r="D64" s="937">
        <f>SUM('107(b)'!D64*1.1)</f>
        <v>1.9064100000000002</v>
      </c>
      <c r="E64" s="937">
        <f>SUM('107(b)'!E64*1.1)</f>
        <v>12.680250000000001</v>
      </c>
      <c r="F64" s="937">
        <f>SUM('107(b)'!F64*1.1)</f>
        <v>0</v>
      </c>
      <c r="G64" s="937">
        <f>SUM('107(b)'!G64*1.1)</f>
        <v>0</v>
      </c>
      <c r="H64" s="937">
        <f>SUM('107(b)'!H64*1.1)</f>
        <v>0</v>
      </c>
      <c r="I64" s="937">
        <f>SUM('107(b)'!I64*1.1)</f>
        <v>0</v>
      </c>
      <c r="J64" s="937">
        <f>SUM('107(b)'!J64*1.1)</f>
        <v>0</v>
      </c>
      <c r="K64" s="947">
        <f t="shared" si="36"/>
        <v>0</v>
      </c>
      <c r="L64" s="948">
        <f t="shared" si="37"/>
        <v>12.680250000000001</v>
      </c>
      <c r="M64" s="604"/>
      <c r="N64" s="862">
        <f>SUM('107(b)'!N64*1.1)</f>
        <v>0</v>
      </c>
      <c r="O64" s="862">
        <f>SUM('107(b)'!O64*1.1)</f>
        <v>0</v>
      </c>
      <c r="P64" s="862">
        <f>SUM('107(b)'!P64*1.1)</f>
        <v>0</v>
      </c>
      <c r="Q64" s="862">
        <f>SUM('107(b)'!Q64*1.1)</f>
        <v>0</v>
      </c>
      <c r="R64" s="862">
        <f>SUM('107(b)'!R64*1.1)</f>
        <v>0</v>
      </c>
      <c r="S64" s="862">
        <f>SUM('107(b)'!S64*1.1)</f>
        <v>0</v>
      </c>
      <c r="T64" s="862">
        <f>SUM('107(b)'!T64*1.1)</f>
        <v>0</v>
      </c>
      <c r="U64" s="862">
        <f>SUM('107(b)'!U64*1.1)</f>
        <v>0</v>
      </c>
      <c r="V64" s="862">
        <f>SUM('107(b)'!V64*1.1)</f>
        <v>0</v>
      </c>
      <c r="W64" s="608">
        <f t="shared" si="38"/>
        <v>0</v>
      </c>
      <c r="X64" s="601">
        <f t="shared" si="3"/>
        <v>12.680250000000001</v>
      </c>
      <c r="Z64" s="860">
        <f t="shared" si="32"/>
        <v>61600</v>
      </c>
      <c r="AA64" s="860">
        <f t="shared" si="33"/>
        <v>10900</v>
      </c>
      <c r="AB64" s="860">
        <f t="shared" si="34"/>
        <v>106300</v>
      </c>
      <c r="AC64" s="860">
        <f t="shared" si="35"/>
        <v>14100</v>
      </c>
      <c r="AD64" s="860"/>
      <c r="AE64" s="860"/>
      <c r="AG64" s="860">
        <v>30800</v>
      </c>
      <c r="AH64" s="860">
        <v>5700</v>
      </c>
      <c r="AI64" s="860">
        <v>53400</v>
      </c>
      <c r="AJ64" s="860">
        <v>7300</v>
      </c>
      <c r="AK64" s="860"/>
      <c r="AL64" s="860"/>
    </row>
    <row r="65" spans="1:38" s="7" customFormat="1" ht="18.95" customHeight="1">
      <c r="A65" s="939">
        <v>8</v>
      </c>
      <c r="B65" s="855" t="s">
        <v>1319</v>
      </c>
      <c r="C65" s="937">
        <f>SUM('107(b)'!C65*1.1)</f>
        <v>14.309680000000002</v>
      </c>
      <c r="D65" s="937">
        <f>SUM('107(b)'!D65*1.1)</f>
        <v>2.42198</v>
      </c>
      <c r="E65" s="937">
        <f>SUM('107(b)'!E65*1.1)</f>
        <v>16.731660000000002</v>
      </c>
      <c r="F65" s="937">
        <f>SUM('107(b)'!F65*1.1)</f>
        <v>9.9390500000000017</v>
      </c>
      <c r="G65" s="937">
        <f>SUM('107(b)'!G65*1.1)</f>
        <v>1.3183499999999999</v>
      </c>
      <c r="H65" s="937">
        <f>SUM('107(b)'!H65*1.1)</f>
        <v>11.257400000000001</v>
      </c>
      <c r="I65" s="937">
        <f>SUM('107(b)'!I65*1.1)</f>
        <v>8.4185200000000009</v>
      </c>
      <c r="J65" s="937">
        <f>SUM('107(b)'!J65*1.1)</f>
        <v>2.88002</v>
      </c>
      <c r="K65" s="947">
        <f t="shared" si="36"/>
        <v>11.298540000000001</v>
      </c>
      <c r="L65" s="948">
        <f t="shared" si="37"/>
        <v>39.287599999999998</v>
      </c>
      <c r="M65" s="604"/>
      <c r="N65" s="862">
        <f>SUM('107(b)'!N65*1.1)</f>
        <v>13.154460000000002</v>
      </c>
      <c r="O65" s="862">
        <f>SUM('107(b)'!O65*1.1)</f>
        <v>0</v>
      </c>
      <c r="P65" s="862">
        <f>SUM('107(b)'!P65*1.1)</f>
        <v>13.154460000000002</v>
      </c>
      <c r="Q65" s="862">
        <f>SUM('107(b)'!Q65*1.1)</f>
        <v>8.0437500000000011</v>
      </c>
      <c r="R65" s="862">
        <f>SUM('107(b)'!R65*1.1)</f>
        <v>0</v>
      </c>
      <c r="S65" s="862">
        <f>SUM('107(b)'!S65*1.1)</f>
        <v>8.0437500000000011</v>
      </c>
      <c r="T65" s="862">
        <f>SUM('107(b)'!T65*1.1)</f>
        <v>0</v>
      </c>
      <c r="U65" s="862">
        <f>SUM('107(b)'!U65*1.1)</f>
        <v>0</v>
      </c>
      <c r="V65" s="862">
        <f>SUM('107(b)'!V65*1.1)</f>
        <v>0</v>
      </c>
      <c r="W65" s="608">
        <f t="shared" si="38"/>
        <v>21.198210000000003</v>
      </c>
      <c r="X65" s="601">
        <f t="shared" si="3"/>
        <v>60.485810000000001</v>
      </c>
      <c r="Z65" s="860">
        <f t="shared" si="32"/>
        <v>64400</v>
      </c>
      <c r="AA65" s="860">
        <f t="shared" si="33"/>
        <v>10900</v>
      </c>
      <c r="AB65" s="860">
        <f t="shared" si="34"/>
        <v>106300</v>
      </c>
      <c r="AC65" s="860">
        <f t="shared" si="35"/>
        <v>14100</v>
      </c>
      <c r="AD65" s="860"/>
      <c r="AE65" s="860"/>
      <c r="AG65" s="860">
        <v>32200</v>
      </c>
      <c r="AH65" s="860">
        <v>5700</v>
      </c>
      <c r="AI65" s="860">
        <v>53400</v>
      </c>
      <c r="AJ65" s="860">
        <v>7300</v>
      </c>
      <c r="AK65" s="860"/>
      <c r="AL65" s="860"/>
    </row>
    <row r="66" spans="1:38" s="7" customFormat="1" ht="18.95" customHeight="1">
      <c r="A66" s="936">
        <v>9</v>
      </c>
      <c r="B66" s="855" t="s">
        <v>417</v>
      </c>
      <c r="C66" s="937">
        <f>SUM('107(b)'!C66*1.1)</f>
        <v>12.806640000000002</v>
      </c>
      <c r="D66" s="937">
        <f>SUM('107(b)'!D66*1.1)</f>
        <v>2.2661099999999998</v>
      </c>
      <c r="E66" s="937">
        <f>SUM('107(b)'!E66*1.1)</f>
        <v>15.072750000000001</v>
      </c>
      <c r="F66" s="937">
        <f>SUM('107(b)'!F66*1.1)</f>
        <v>22.018150000000002</v>
      </c>
      <c r="G66" s="937">
        <f>SUM('107(b)'!G66*1.1)</f>
        <v>3.3346500000000003</v>
      </c>
      <c r="H66" s="937">
        <f>SUM('107(b)'!H66*1.1)</f>
        <v>25.352800000000006</v>
      </c>
      <c r="I66" s="937">
        <f>SUM('107(b)'!I66*1.1)</f>
        <v>7.5323600000000006</v>
      </c>
      <c r="J66" s="937">
        <f>SUM('107(b)'!J66*1.1)</f>
        <v>2.4369399999999999</v>
      </c>
      <c r="K66" s="947">
        <f t="shared" si="36"/>
        <v>9.9693000000000005</v>
      </c>
      <c r="L66" s="948">
        <f t="shared" si="37"/>
        <v>50.394850000000005</v>
      </c>
      <c r="M66" s="604"/>
      <c r="N66" s="862">
        <f>SUM('107(b)'!N66*1.1)</f>
        <v>18.347010000000001</v>
      </c>
      <c r="O66" s="862">
        <f>SUM('107(b)'!O66*1.1)</f>
        <v>0</v>
      </c>
      <c r="P66" s="862">
        <f>SUM('107(b)'!P66*1.1)</f>
        <v>18.347010000000001</v>
      </c>
      <c r="Q66" s="862">
        <f>SUM('107(b)'!Q66*1.1)</f>
        <v>0</v>
      </c>
      <c r="R66" s="862">
        <f>SUM('107(b)'!R66*1.1)</f>
        <v>0</v>
      </c>
      <c r="S66" s="862">
        <f>SUM('107(b)'!S66*1.1)</f>
        <v>0</v>
      </c>
      <c r="T66" s="862">
        <f>SUM('107(b)'!T66*1.1)</f>
        <v>0</v>
      </c>
      <c r="U66" s="862">
        <f>SUM('107(b)'!U66*1.1)</f>
        <v>0</v>
      </c>
      <c r="V66" s="862">
        <f>SUM('107(b)'!V66*1.1)</f>
        <v>0</v>
      </c>
      <c r="W66" s="608">
        <f t="shared" si="38"/>
        <v>18.347010000000001</v>
      </c>
      <c r="X66" s="601">
        <f t="shared" si="3"/>
        <v>68.741860000000003</v>
      </c>
      <c r="Z66" s="860">
        <f t="shared" si="32"/>
        <v>61600</v>
      </c>
      <c r="AA66" s="860">
        <f t="shared" si="33"/>
        <v>10900</v>
      </c>
      <c r="AB66" s="860">
        <f t="shared" si="34"/>
        <v>93100</v>
      </c>
      <c r="AC66" s="860">
        <f t="shared" si="35"/>
        <v>14100</v>
      </c>
      <c r="AD66" s="860"/>
      <c r="AE66" s="860"/>
      <c r="AG66" s="860">
        <v>30800</v>
      </c>
      <c r="AH66" s="860">
        <v>5700</v>
      </c>
      <c r="AI66" s="860">
        <v>46800</v>
      </c>
      <c r="AJ66" s="860">
        <v>7300</v>
      </c>
      <c r="AK66" s="860"/>
      <c r="AL66" s="860"/>
    </row>
    <row r="67" spans="1:38" s="7" customFormat="1" ht="18.95" customHeight="1">
      <c r="A67" s="939">
        <v>10</v>
      </c>
      <c r="B67" s="855" t="s">
        <v>412</v>
      </c>
      <c r="C67" s="937">
        <f>SUM('107(b)'!C67*1.1)</f>
        <v>11.92576</v>
      </c>
      <c r="D67" s="937">
        <f>SUM('107(b)'!D67*1.1)</f>
        <v>2.1102400000000001</v>
      </c>
      <c r="E67" s="937">
        <f>SUM('107(b)'!E67*1.1)</f>
        <v>14.036000000000001</v>
      </c>
      <c r="F67" s="937">
        <f>SUM('107(b)'!F67*1.1)</f>
        <v>9.6470000000000002</v>
      </c>
      <c r="G67" s="937">
        <f>SUM('107(b)'!G67*1.1)</f>
        <v>1.5509999999999999</v>
      </c>
      <c r="H67" s="937">
        <f>SUM('107(b)'!H67*1.1)</f>
        <v>11.198</v>
      </c>
      <c r="I67" s="937">
        <f>SUM('107(b)'!I67*1.1)</f>
        <v>4.6523400000000006</v>
      </c>
      <c r="J67" s="937">
        <f>SUM('107(b)'!J67*1.1)</f>
        <v>3.7661800000000003</v>
      </c>
      <c r="K67" s="947">
        <f t="shared" si="36"/>
        <v>8.4185200000000009</v>
      </c>
      <c r="L67" s="948">
        <f t="shared" si="37"/>
        <v>33.652520000000003</v>
      </c>
      <c r="M67" s="604"/>
      <c r="N67" s="862">
        <f>SUM('107(b)'!N67*1.1)</f>
        <v>12.577510000000002</v>
      </c>
      <c r="O67" s="862">
        <f>SUM('107(b)'!O67*1.1)</f>
        <v>0</v>
      </c>
      <c r="P67" s="862">
        <f>SUM('107(b)'!P67*1.1)</f>
        <v>12.577510000000002</v>
      </c>
      <c r="Q67" s="862">
        <f>SUM('107(b)'!Q67*1.1)</f>
        <v>0.32174999999999998</v>
      </c>
      <c r="R67" s="862">
        <f>SUM('107(b)'!R67*1.1)</f>
        <v>0</v>
      </c>
      <c r="S67" s="862">
        <f>SUM('107(b)'!S67*1.1)</f>
        <v>0.32174999999999998</v>
      </c>
      <c r="T67" s="862">
        <f>SUM('107(b)'!T67*1.1)</f>
        <v>0</v>
      </c>
      <c r="U67" s="862">
        <f>SUM('107(b)'!U67*1.1)</f>
        <v>0</v>
      </c>
      <c r="V67" s="862">
        <f>SUM('107(b)'!V67*1.1)</f>
        <v>0</v>
      </c>
      <c r="W67" s="608">
        <f t="shared" si="38"/>
        <v>12.899260000000002</v>
      </c>
      <c r="X67" s="601">
        <f t="shared" si="3"/>
        <v>46.551780000000008</v>
      </c>
      <c r="Z67" s="860">
        <f t="shared" si="32"/>
        <v>61600</v>
      </c>
      <c r="AA67" s="860">
        <f t="shared" si="33"/>
        <v>10900</v>
      </c>
      <c r="AB67" s="860">
        <f t="shared" si="34"/>
        <v>87700</v>
      </c>
      <c r="AC67" s="860">
        <f t="shared" si="35"/>
        <v>14100</v>
      </c>
      <c r="AD67" s="860"/>
      <c r="AE67" s="860"/>
      <c r="AG67" s="860">
        <v>30800</v>
      </c>
      <c r="AH67" s="860">
        <v>5700</v>
      </c>
      <c r="AI67" s="860">
        <v>44100</v>
      </c>
      <c r="AJ67" s="860">
        <v>7300</v>
      </c>
      <c r="AK67" s="860"/>
      <c r="AL67" s="860"/>
    </row>
    <row r="68" spans="1:38" s="7" customFormat="1" ht="18.95" customHeight="1">
      <c r="A68" s="936">
        <v>11</v>
      </c>
      <c r="B68" s="855" t="s">
        <v>438</v>
      </c>
      <c r="C68" s="937">
        <f>SUM('107(b)'!C68*1.1)</f>
        <v>13.280960000000002</v>
      </c>
      <c r="D68" s="937">
        <f>SUM('107(b)'!D68*1.1)</f>
        <v>2.3500400000000004</v>
      </c>
      <c r="E68" s="937">
        <f>SUM('107(b)'!E68*1.1)</f>
        <v>15.631000000000002</v>
      </c>
      <c r="F68" s="937">
        <f>SUM('107(b)'!F68*1.1)</f>
        <v>10.45374</v>
      </c>
      <c r="G68" s="937">
        <f>SUM('107(b)'!G68*1.1)</f>
        <v>1.45794</v>
      </c>
      <c r="H68" s="937">
        <f>SUM('107(b)'!H68*1.1)</f>
        <v>11.91168</v>
      </c>
      <c r="I68" s="937">
        <f>SUM('107(b)'!I68*1.1)</f>
        <v>9.7477599999999995</v>
      </c>
      <c r="J68" s="937">
        <f>SUM('107(b)'!J68*1.1)</f>
        <v>4.9846500000000011</v>
      </c>
      <c r="K68" s="947">
        <f t="shared" si="36"/>
        <v>14.732410000000002</v>
      </c>
      <c r="L68" s="948">
        <f t="shared" si="37"/>
        <v>42.275090000000006</v>
      </c>
      <c r="M68" s="604"/>
      <c r="N68" s="862">
        <f>SUM('107(b)'!N68*1.1)</f>
        <v>19.039349999999999</v>
      </c>
      <c r="O68" s="862">
        <f>SUM('107(b)'!O68*1.1)</f>
        <v>0</v>
      </c>
      <c r="P68" s="862">
        <f>SUM('107(b)'!P68*1.1)</f>
        <v>19.039349999999999</v>
      </c>
      <c r="Q68" s="862">
        <f>SUM('107(b)'!Q68*1.1)</f>
        <v>4.1827500000000004</v>
      </c>
      <c r="R68" s="862">
        <f>SUM('107(b)'!R68*1.1)</f>
        <v>0</v>
      </c>
      <c r="S68" s="862">
        <f>SUM('107(b)'!S68*1.1)</f>
        <v>4.1827500000000004</v>
      </c>
      <c r="T68" s="862">
        <f>SUM('107(b)'!T68*1.1)</f>
        <v>0</v>
      </c>
      <c r="U68" s="862">
        <f>SUM('107(b)'!U68*1.1)</f>
        <v>0</v>
      </c>
      <c r="V68" s="862">
        <f>SUM('107(b)'!V68*1.1)</f>
        <v>0</v>
      </c>
      <c r="W68" s="608">
        <f t="shared" si="38"/>
        <v>23.222099999999998</v>
      </c>
      <c r="X68" s="601">
        <f t="shared" si="3"/>
        <v>65.497190000000003</v>
      </c>
      <c r="Z68" s="860">
        <f t="shared" si="32"/>
        <v>61600</v>
      </c>
      <c r="AA68" s="860">
        <f t="shared" si="33"/>
        <v>10900</v>
      </c>
      <c r="AB68" s="860">
        <f t="shared" si="34"/>
        <v>101100</v>
      </c>
      <c r="AC68" s="860">
        <f t="shared" si="35"/>
        <v>14100</v>
      </c>
      <c r="AD68" s="860"/>
      <c r="AE68" s="860"/>
      <c r="AG68" s="860">
        <v>30800</v>
      </c>
      <c r="AH68" s="860">
        <v>5700</v>
      </c>
      <c r="AI68" s="860">
        <v>50800</v>
      </c>
      <c r="AJ68" s="860">
        <v>7300</v>
      </c>
      <c r="AK68" s="860"/>
      <c r="AL68" s="860"/>
    </row>
    <row r="69" spans="1:38" s="7" customFormat="1" ht="18.95" customHeight="1">
      <c r="A69" s="939">
        <v>12</v>
      </c>
      <c r="B69" s="855" t="s">
        <v>1440</v>
      </c>
      <c r="C69" s="937">
        <f>SUM('107(b)'!C69*1.1)</f>
        <v>0</v>
      </c>
      <c r="D69" s="937">
        <f>SUM('107(b)'!D69*1.1)</f>
        <v>0</v>
      </c>
      <c r="E69" s="937">
        <f>SUM('107(b)'!E69*1.1)</f>
        <v>0</v>
      </c>
      <c r="F69" s="937">
        <f>SUM('107(b)'!F69*1.1)</f>
        <v>0</v>
      </c>
      <c r="G69" s="937">
        <f>SUM('107(b)'!G69*1.1)</f>
        <v>0</v>
      </c>
      <c r="H69" s="937">
        <f>SUM('107(b)'!H69*1.1)</f>
        <v>0</v>
      </c>
      <c r="I69" s="937">
        <f>SUM('107(b)'!I69*1.1)</f>
        <v>1.44001</v>
      </c>
      <c r="J69" s="937">
        <f>SUM('107(b)'!J69*1.1)</f>
        <v>0.66461999999999999</v>
      </c>
      <c r="K69" s="947">
        <f t="shared" si="36"/>
        <v>2.1046300000000002</v>
      </c>
      <c r="L69" s="948">
        <f t="shared" si="37"/>
        <v>2.1046300000000002</v>
      </c>
      <c r="M69" s="604"/>
      <c r="N69" s="862">
        <f>SUM('107(b)'!N69*1.1)</f>
        <v>0</v>
      </c>
      <c r="O69" s="862">
        <f>SUM('107(b)'!O69*1.1)</f>
        <v>0</v>
      </c>
      <c r="P69" s="862">
        <f>SUM('107(b)'!P69*1.1)</f>
        <v>0</v>
      </c>
      <c r="Q69" s="862">
        <f>SUM('107(b)'!Q69*1.1)</f>
        <v>0</v>
      </c>
      <c r="R69" s="862">
        <f>SUM('107(b)'!R69*1.1)</f>
        <v>0</v>
      </c>
      <c r="S69" s="862">
        <f>SUM('107(b)'!S69*1.1)</f>
        <v>0</v>
      </c>
      <c r="T69" s="862">
        <f>SUM('107(b)'!T69*1.1)</f>
        <v>0</v>
      </c>
      <c r="U69" s="862">
        <f>SUM('107(b)'!U69*1.1)</f>
        <v>0</v>
      </c>
      <c r="V69" s="862">
        <f>SUM('107(b)'!V69*1.1)</f>
        <v>0</v>
      </c>
      <c r="W69" s="608">
        <f t="shared" si="38"/>
        <v>0</v>
      </c>
      <c r="X69" s="601">
        <f t="shared" si="3"/>
        <v>2.1046300000000002</v>
      </c>
      <c r="Z69" s="860">
        <f t="shared" si="32"/>
        <v>61600</v>
      </c>
      <c r="AA69" s="860">
        <f t="shared" si="33"/>
        <v>10900</v>
      </c>
      <c r="AB69" s="860">
        <f t="shared" si="34"/>
        <v>101100</v>
      </c>
      <c r="AC69" s="860">
        <f t="shared" si="35"/>
        <v>14100</v>
      </c>
      <c r="AD69" s="860"/>
      <c r="AE69" s="860"/>
      <c r="AG69" s="860">
        <v>30800</v>
      </c>
      <c r="AH69" s="860">
        <v>5700</v>
      </c>
      <c r="AI69" s="860">
        <v>50800</v>
      </c>
      <c r="AJ69" s="860">
        <v>7300</v>
      </c>
      <c r="AK69" s="860"/>
      <c r="AL69" s="860"/>
    </row>
    <row r="70" spans="1:38" s="7" customFormat="1" ht="18.95" customHeight="1">
      <c r="A70" s="936">
        <v>13</v>
      </c>
      <c r="B70" s="855" t="s">
        <v>1345</v>
      </c>
      <c r="C70" s="937">
        <f>SUM('107(b)'!C70*1.1)</f>
        <v>4.1333600000000006</v>
      </c>
      <c r="D70" s="937">
        <f>SUM('107(b)'!D70*1.1)</f>
        <v>0.7313900000000001</v>
      </c>
      <c r="E70" s="937">
        <f>SUM('107(b)'!E70*1.1)</f>
        <v>4.8647500000000008</v>
      </c>
      <c r="F70" s="937">
        <f>SUM('107(b)'!F70*1.1)</f>
        <v>0</v>
      </c>
      <c r="G70" s="937">
        <f>SUM('107(b)'!G70*1.1)</f>
        <v>0</v>
      </c>
      <c r="H70" s="937">
        <f>SUM('107(b)'!H70*1.1)</f>
        <v>0</v>
      </c>
      <c r="I70" s="937">
        <f>SUM('107(b)'!I70*1.1)</f>
        <v>0</v>
      </c>
      <c r="J70" s="937">
        <f>SUM('107(b)'!J70*1.1)</f>
        <v>0</v>
      </c>
      <c r="K70" s="947">
        <f t="shared" si="36"/>
        <v>0</v>
      </c>
      <c r="L70" s="948">
        <f t="shared" si="37"/>
        <v>4.8647500000000008</v>
      </c>
      <c r="M70" s="604"/>
      <c r="N70" s="862">
        <f>SUM('107(b)'!N70*1.1)</f>
        <v>0</v>
      </c>
      <c r="O70" s="862">
        <f>SUM('107(b)'!O70*1.1)</f>
        <v>0</v>
      </c>
      <c r="P70" s="862">
        <f>SUM('107(b)'!P70*1.1)</f>
        <v>0</v>
      </c>
      <c r="Q70" s="862">
        <f>SUM('107(b)'!Q70*1.1)</f>
        <v>0</v>
      </c>
      <c r="R70" s="862">
        <f>SUM('107(b)'!R70*1.1)</f>
        <v>0</v>
      </c>
      <c r="S70" s="862">
        <f>SUM('107(b)'!S70*1.1)</f>
        <v>0</v>
      </c>
      <c r="T70" s="862">
        <f>SUM('107(b)'!T70*1.1)</f>
        <v>0</v>
      </c>
      <c r="U70" s="862">
        <f>SUM('107(b)'!U70*1.1)</f>
        <v>0</v>
      </c>
      <c r="V70" s="862">
        <f>SUM('107(b)'!V70*1.1)</f>
        <v>0</v>
      </c>
      <c r="W70" s="608">
        <f t="shared" si="38"/>
        <v>0</v>
      </c>
      <c r="X70" s="601">
        <f t="shared" si="3"/>
        <v>4.8647500000000008</v>
      </c>
      <c r="Z70" s="860">
        <f t="shared" si="32"/>
        <v>61600</v>
      </c>
      <c r="AA70" s="860">
        <f t="shared" si="33"/>
        <v>10900</v>
      </c>
      <c r="AB70" s="860">
        <f t="shared" si="34"/>
        <v>101100</v>
      </c>
      <c r="AC70" s="860">
        <f t="shared" si="35"/>
        <v>14100</v>
      </c>
      <c r="AD70" s="860"/>
      <c r="AE70" s="860"/>
      <c r="AG70" s="860">
        <v>30800</v>
      </c>
      <c r="AH70" s="860">
        <v>5700</v>
      </c>
      <c r="AI70" s="860">
        <v>50800</v>
      </c>
      <c r="AJ70" s="860">
        <v>7300</v>
      </c>
      <c r="AK70" s="860"/>
      <c r="AL70" s="860"/>
    </row>
    <row r="71" spans="1:38" ht="20.100000000000001" customHeight="1">
      <c r="A71" s="1584" t="s">
        <v>752</v>
      </c>
      <c r="B71" s="1585"/>
      <c r="C71" s="943">
        <f t="shared" ref="C71:L71" si="39">SUM(C58:C70)</f>
        <v>124.96176000000003</v>
      </c>
      <c r="D71" s="943">
        <f t="shared" si="39"/>
        <v>21.894830000000002</v>
      </c>
      <c r="E71" s="943">
        <f t="shared" si="39"/>
        <v>146.85659000000004</v>
      </c>
      <c r="F71" s="943">
        <f t="shared" si="39"/>
        <v>84.082420000000013</v>
      </c>
      <c r="G71" s="943">
        <f t="shared" si="39"/>
        <v>12.072420000000001</v>
      </c>
      <c r="H71" s="943">
        <f t="shared" si="39"/>
        <v>96.154840000000021</v>
      </c>
      <c r="I71" s="943">
        <f t="shared" si="39"/>
        <v>68.274599999999992</v>
      </c>
      <c r="J71" s="943">
        <f t="shared" si="39"/>
        <v>34.620660000000001</v>
      </c>
      <c r="K71" s="949">
        <f t="shared" si="39"/>
        <v>102.89526000000001</v>
      </c>
      <c r="L71" s="950">
        <f t="shared" si="39"/>
        <v>345.90669000000003</v>
      </c>
      <c r="M71" s="604"/>
      <c r="N71" s="560">
        <f t="shared" ref="N71:W71" si="40">SUM(N58:N70)</f>
        <v>139.02397000000002</v>
      </c>
      <c r="O71" s="560">
        <f t="shared" si="40"/>
        <v>0</v>
      </c>
      <c r="P71" s="560">
        <f t="shared" si="40"/>
        <v>139.02397000000002</v>
      </c>
      <c r="Q71" s="560">
        <f t="shared" si="40"/>
        <v>20.445750000000004</v>
      </c>
      <c r="R71" s="560">
        <f t="shared" si="40"/>
        <v>0</v>
      </c>
      <c r="S71" s="560">
        <f t="shared" si="40"/>
        <v>20.445750000000004</v>
      </c>
      <c r="T71" s="560">
        <f t="shared" si="40"/>
        <v>0</v>
      </c>
      <c r="U71" s="560">
        <f t="shared" si="40"/>
        <v>0</v>
      </c>
      <c r="V71" s="575">
        <f t="shared" si="40"/>
        <v>0</v>
      </c>
      <c r="W71" s="560">
        <f t="shared" si="40"/>
        <v>159.46972</v>
      </c>
      <c r="X71" s="601">
        <f t="shared" si="3"/>
        <v>505.37641000000002</v>
      </c>
      <c r="AG71" s="857"/>
      <c r="AH71" s="857"/>
      <c r="AI71" s="857"/>
      <c r="AJ71" s="857"/>
      <c r="AK71" s="857"/>
      <c r="AL71" s="857"/>
    </row>
    <row r="72" spans="1:38" ht="15" customHeight="1">
      <c r="A72" s="1586" t="s">
        <v>742</v>
      </c>
      <c r="B72" s="1587"/>
      <c r="C72" s="1587"/>
      <c r="D72" s="1587"/>
      <c r="E72" s="1587"/>
      <c r="F72" s="1587"/>
      <c r="G72" s="1587"/>
      <c r="H72" s="1587"/>
      <c r="I72" s="1587"/>
      <c r="J72" s="1587"/>
      <c r="K72" s="1587"/>
      <c r="L72" s="1588"/>
      <c r="M72" s="604"/>
      <c r="N72" s="609"/>
      <c r="O72" s="609"/>
      <c r="P72" s="609"/>
      <c r="Q72" s="609"/>
      <c r="R72" s="609"/>
      <c r="S72" s="609"/>
      <c r="T72" s="609"/>
      <c r="U72" s="609"/>
      <c r="V72" s="609"/>
      <c r="W72" s="609"/>
      <c r="X72" s="600"/>
      <c r="AG72" s="857"/>
      <c r="AH72" s="857"/>
      <c r="AI72" s="857"/>
      <c r="AJ72" s="857"/>
      <c r="AK72" s="857"/>
      <c r="AL72" s="857"/>
    </row>
    <row r="73" spans="1:38" s="7" customFormat="1" ht="20.100000000000001" customHeight="1">
      <c r="A73" s="951">
        <v>1</v>
      </c>
      <c r="B73" s="952"/>
      <c r="C73" s="953"/>
      <c r="D73" s="953"/>
      <c r="E73" s="954">
        <f t="shared" ref="E73:E78" si="41">C73+D73</f>
        <v>0</v>
      </c>
      <c r="F73" s="954"/>
      <c r="G73" s="954"/>
      <c r="H73" s="954">
        <f t="shared" ref="H73:H78" si="42">F73+G73</f>
        <v>0</v>
      </c>
      <c r="I73" s="953"/>
      <c r="J73" s="953"/>
      <c r="K73" s="955">
        <f t="shared" ref="K73:K78" si="43">I73+J73</f>
        <v>0</v>
      </c>
      <c r="L73" s="938">
        <f>E73+K73+H73</f>
        <v>0</v>
      </c>
      <c r="M73" s="604"/>
      <c r="N73" s="271"/>
      <c r="O73" s="271"/>
      <c r="P73" s="606">
        <f t="shared" ref="P73:P78" si="44">N73+O73</f>
        <v>0</v>
      </c>
      <c r="Q73" s="606"/>
      <c r="R73" s="606"/>
      <c r="S73" s="606">
        <f t="shared" ref="S73:S78" si="45">Q73+R73</f>
        <v>0</v>
      </c>
      <c r="T73" s="271"/>
      <c r="U73" s="271"/>
      <c r="V73" s="607">
        <f t="shared" ref="V73:V78" si="46">T73+U73</f>
        <v>0</v>
      </c>
      <c r="W73" s="608">
        <f>P73+V73+S73</f>
        <v>0</v>
      </c>
      <c r="X73" s="601">
        <f t="shared" si="3"/>
        <v>0</v>
      </c>
      <c r="Z73" s="860"/>
      <c r="AA73" s="860"/>
      <c r="AB73" s="860"/>
      <c r="AC73" s="860"/>
      <c r="AD73" s="860"/>
      <c r="AE73" s="860"/>
      <c r="AG73" s="860"/>
      <c r="AH73" s="860"/>
      <c r="AI73" s="860"/>
      <c r="AJ73" s="860"/>
      <c r="AK73" s="860"/>
      <c r="AL73" s="860"/>
    </row>
    <row r="74" spans="1:38" s="7" customFormat="1" ht="20.100000000000001" customHeight="1">
      <c r="A74" s="939">
        <v>2</v>
      </c>
      <c r="B74" s="956"/>
      <c r="C74" s="957"/>
      <c r="D74" s="957"/>
      <c r="E74" s="958">
        <f t="shared" si="41"/>
        <v>0</v>
      </c>
      <c r="F74" s="958"/>
      <c r="G74" s="958"/>
      <c r="H74" s="958">
        <f t="shared" si="42"/>
        <v>0</v>
      </c>
      <c r="I74" s="957"/>
      <c r="J74" s="957"/>
      <c r="K74" s="959">
        <f t="shared" si="43"/>
        <v>0</v>
      </c>
      <c r="L74" s="940">
        <f>E74+K74</f>
        <v>0</v>
      </c>
      <c r="M74" s="604"/>
      <c r="N74" s="238"/>
      <c r="O74" s="238"/>
      <c r="P74" s="239">
        <f t="shared" si="44"/>
        <v>0</v>
      </c>
      <c r="Q74" s="239"/>
      <c r="R74" s="239"/>
      <c r="S74" s="239">
        <f t="shared" si="45"/>
        <v>0</v>
      </c>
      <c r="T74" s="238"/>
      <c r="U74" s="238"/>
      <c r="V74" s="564">
        <f t="shared" si="46"/>
        <v>0</v>
      </c>
      <c r="W74" s="565">
        <f>P74+V74</f>
        <v>0</v>
      </c>
      <c r="X74" s="601">
        <f t="shared" si="3"/>
        <v>0</v>
      </c>
      <c r="Z74" s="860"/>
      <c r="AA74" s="860"/>
      <c r="AB74" s="860"/>
      <c r="AC74" s="860"/>
      <c r="AD74" s="860"/>
      <c r="AE74" s="860"/>
      <c r="AG74" s="860"/>
      <c r="AH74" s="860"/>
      <c r="AI74" s="860"/>
      <c r="AJ74" s="860"/>
      <c r="AK74" s="860"/>
      <c r="AL74" s="860"/>
    </row>
    <row r="75" spans="1:38" s="7" customFormat="1" ht="20.100000000000001" customHeight="1">
      <c r="A75" s="939">
        <v>3</v>
      </c>
      <c r="B75" s="956"/>
      <c r="C75" s="957"/>
      <c r="D75" s="957"/>
      <c r="E75" s="958">
        <f t="shared" si="41"/>
        <v>0</v>
      </c>
      <c r="F75" s="958"/>
      <c r="G75" s="958"/>
      <c r="H75" s="958">
        <f t="shared" si="42"/>
        <v>0</v>
      </c>
      <c r="I75" s="957"/>
      <c r="J75" s="957"/>
      <c r="K75" s="959">
        <f t="shared" si="43"/>
        <v>0</v>
      </c>
      <c r="L75" s="940">
        <f>E75+K75</f>
        <v>0</v>
      </c>
      <c r="M75" s="604"/>
      <c r="N75" s="238"/>
      <c r="O75" s="238"/>
      <c r="P75" s="239">
        <f t="shared" si="44"/>
        <v>0</v>
      </c>
      <c r="Q75" s="239"/>
      <c r="R75" s="239"/>
      <c r="S75" s="239">
        <f t="shared" si="45"/>
        <v>0</v>
      </c>
      <c r="T75" s="238"/>
      <c r="U75" s="238"/>
      <c r="V75" s="564">
        <f t="shared" si="46"/>
        <v>0</v>
      </c>
      <c r="W75" s="565">
        <f>P75+V75</f>
        <v>0</v>
      </c>
      <c r="X75" s="601">
        <f t="shared" si="3"/>
        <v>0</v>
      </c>
      <c r="Z75" s="860"/>
      <c r="AA75" s="860"/>
      <c r="AB75" s="860"/>
      <c r="AC75" s="860"/>
      <c r="AD75" s="860"/>
      <c r="AE75" s="860"/>
      <c r="AG75" s="860"/>
      <c r="AH75" s="860"/>
      <c r="AI75" s="860"/>
      <c r="AJ75" s="860"/>
      <c r="AK75" s="860"/>
      <c r="AL75" s="860"/>
    </row>
    <row r="76" spans="1:38" s="7" customFormat="1" ht="20.100000000000001" customHeight="1">
      <c r="A76" s="939">
        <v>4</v>
      </c>
      <c r="B76" s="956"/>
      <c r="C76" s="957"/>
      <c r="D76" s="957"/>
      <c r="E76" s="958">
        <f t="shared" si="41"/>
        <v>0</v>
      </c>
      <c r="F76" s="958"/>
      <c r="G76" s="958"/>
      <c r="H76" s="958">
        <f t="shared" si="42"/>
        <v>0</v>
      </c>
      <c r="I76" s="957"/>
      <c r="J76" s="957"/>
      <c r="K76" s="959">
        <f t="shared" si="43"/>
        <v>0</v>
      </c>
      <c r="L76" s="940">
        <f>E76+K76</f>
        <v>0</v>
      </c>
      <c r="M76" s="604"/>
      <c r="N76" s="238"/>
      <c r="O76" s="238"/>
      <c r="P76" s="239">
        <f t="shared" si="44"/>
        <v>0</v>
      </c>
      <c r="Q76" s="239"/>
      <c r="R76" s="239"/>
      <c r="S76" s="239">
        <f t="shared" si="45"/>
        <v>0</v>
      </c>
      <c r="T76" s="238"/>
      <c r="U76" s="238"/>
      <c r="V76" s="564">
        <f t="shared" si="46"/>
        <v>0</v>
      </c>
      <c r="W76" s="565">
        <f>P76+V76</f>
        <v>0</v>
      </c>
      <c r="X76" s="601">
        <f t="shared" ref="X76:X103" si="47">W76+L76</f>
        <v>0</v>
      </c>
      <c r="Z76" s="860"/>
      <c r="AA76" s="860"/>
      <c r="AB76" s="860"/>
      <c r="AC76" s="860"/>
      <c r="AD76" s="860"/>
      <c r="AE76" s="860"/>
      <c r="AG76" s="860"/>
      <c r="AH76" s="860"/>
      <c r="AI76" s="860"/>
      <c r="AJ76" s="860"/>
      <c r="AK76" s="860"/>
      <c r="AL76" s="860"/>
    </row>
    <row r="77" spans="1:38" s="7" customFormat="1" ht="20.100000000000001" customHeight="1">
      <c r="A77" s="939">
        <v>5</v>
      </c>
      <c r="B77" s="956"/>
      <c r="C77" s="957"/>
      <c r="D77" s="957"/>
      <c r="E77" s="958">
        <f t="shared" si="41"/>
        <v>0</v>
      </c>
      <c r="F77" s="958"/>
      <c r="G77" s="958"/>
      <c r="H77" s="958">
        <f t="shared" si="42"/>
        <v>0</v>
      </c>
      <c r="I77" s="957"/>
      <c r="J77" s="957"/>
      <c r="K77" s="959">
        <f t="shared" si="43"/>
        <v>0</v>
      </c>
      <c r="L77" s="940">
        <f>E77+K77</f>
        <v>0</v>
      </c>
      <c r="M77" s="604"/>
      <c r="N77" s="238"/>
      <c r="O77" s="238"/>
      <c r="P77" s="239">
        <f t="shared" si="44"/>
        <v>0</v>
      </c>
      <c r="Q77" s="239"/>
      <c r="R77" s="239"/>
      <c r="S77" s="239">
        <f t="shared" si="45"/>
        <v>0</v>
      </c>
      <c r="T77" s="238"/>
      <c r="U77" s="238"/>
      <c r="V77" s="564">
        <f t="shared" si="46"/>
        <v>0</v>
      </c>
      <c r="W77" s="565">
        <f>P77+V77</f>
        <v>0</v>
      </c>
      <c r="X77" s="601">
        <f t="shared" si="47"/>
        <v>0</v>
      </c>
      <c r="Z77" s="860"/>
      <c r="AA77" s="860"/>
      <c r="AB77" s="860"/>
      <c r="AC77" s="860"/>
      <c r="AD77" s="860"/>
      <c r="AE77" s="860"/>
      <c r="AG77" s="860"/>
      <c r="AH77" s="860"/>
      <c r="AI77" s="860"/>
      <c r="AJ77" s="860"/>
      <c r="AK77" s="860"/>
      <c r="AL77" s="860"/>
    </row>
    <row r="78" spans="1:38" s="7" customFormat="1" ht="20.100000000000001" customHeight="1">
      <c r="A78" s="941">
        <v>6</v>
      </c>
      <c r="B78" s="942"/>
      <c r="C78" s="960"/>
      <c r="D78" s="961"/>
      <c r="E78" s="962">
        <f t="shared" si="41"/>
        <v>0</v>
      </c>
      <c r="F78" s="962"/>
      <c r="G78" s="963"/>
      <c r="H78" s="963">
        <f t="shared" si="42"/>
        <v>0</v>
      </c>
      <c r="I78" s="960"/>
      <c r="J78" s="961"/>
      <c r="K78" s="964">
        <f t="shared" si="43"/>
        <v>0</v>
      </c>
      <c r="L78" s="940">
        <f>E78+K78</f>
        <v>0</v>
      </c>
      <c r="M78" s="604"/>
      <c r="N78" s="359"/>
      <c r="O78" s="237"/>
      <c r="P78" s="198">
        <f t="shared" si="44"/>
        <v>0</v>
      </c>
      <c r="Q78" s="198"/>
      <c r="R78" s="563"/>
      <c r="S78" s="563">
        <f t="shared" si="45"/>
        <v>0</v>
      </c>
      <c r="T78" s="359"/>
      <c r="U78" s="237"/>
      <c r="V78" s="574">
        <f t="shared" si="46"/>
        <v>0</v>
      </c>
      <c r="W78" s="565">
        <f>P78+V78</f>
        <v>0</v>
      </c>
      <c r="X78" s="601">
        <f t="shared" si="47"/>
        <v>0</v>
      </c>
      <c r="Z78" s="860"/>
      <c r="AA78" s="860"/>
      <c r="AB78" s="860"/>
      <c r="AC78" s="860"/>
      <c r="AD78" s="860"/>
      <c r="AE78" s="860"/>
      <c r="AG78" s="860"/>
      <c r="AH78" s="860"/>
      <c r="AI78" s="860"/>
      <c r="AJ78" s="860"/>
      <c r="AK78" s="860"/>
      <c r="AL78" s="860"/>
    </row>
    <row r="79" spans="1:38" ht="20.100000000000001" customHeight="1">
      <c r="A79" s="1584" t="s">
        <v>752</v>
      </c>
      <c r="B79" s="1585"/>
      <c r="C79" s="944">
        <f>SUM(C73:C77)</f>
        <v>0</v>
      </c>
      <c r="D79" s="944">
        <f t="shared" ref="D79:L79" si="48">SUM(D73:D77)</f>
        <v>0</v>
      </c>
      <c r="E79" s="944">
        <f t="shared" si="48"/>
        <v>0</v>
      </c>
      <c r="F79" s="944">
        <f t="shared" si="48"/>
        <v>0</v>
      </c>
      <c r="G79" s="944">
        <f t="shared" si="48"/>
        <v>0</v>
      </c>
      <c r="H79" s="944">
        <f t="shared" si="48"/>
        <v>0</v>
      </c>
      <c r="I79" s="944">
        <f t="shared" si="48"/>
        <v>0</v>
      </c>
      <c r="J79" s="944">
        <f t="shared" si="48"/>
        <v>0</v>
      </c>
      <c r="K79" s="945">
        <f t="shared" si="48"/>
        <v>0</v>
      </c>
      <c r="L79" s="944">
        <f t="shared" si="48"/>
        <v>0</v>
      </c>
      <c r="M79" s="604"/>
      <c r="N79" s="560">
        <f>SUM(N73:N77)</f>
        <v>0</v>
      </c>
      <c r="O79" s="560">
        <f t="shared" ref="O79:W79" si="49">SUM(O73:O77)</f>
        <v>0</v>
      </c>
      <c r="P79" s="560">
        <f t="shared" si="49"/>
        <v>0</v>
      </c>
      <c r="Q79" s="560">
        <f t="shared" si="49"/>
        <v>0</v>
      </c>
      <c r="R79" s="560">
        <f t="shared" si="49"/>
        <v>0</v>
      </c>
      <c r="S79" s="560">
        <f t="shared" si="49"/>
        <v>0</v>
      </c>
      <c r="T79" s="560">
        <f t="shared" si="49"/>
        <v>0</v>
      </c>
      <c r="U79" s="560">
        <f t="shared" si="49"/>
        <v>0</v>
      </c>
      <c r="V79" s="575">
        <f t="shared" si="49"/>
        <v>0</v>
      </c>
      <c r="W79" s="560">
        <f t="shared" si="49"/>
        <v>0</v>
      </c>
      <c r="X79" s="601">
        <f t="shared" si="47"/>
        <v>0</v>
      </c>
      <c r="AG79" s="857"/>
      <c r="AH79" s="857"/>
      <c r="AI79" s="857"/>
      <c r="AJ79" s="857"/>
      <c r="AK79" s="857"/>
      <c r="AL79" s="857"/>
    </row>
    <row r="80" spans="1:38" ht="15" customHeight="1">
      <c r="A80" s="1586" t="s">
        <v>147</v>
      </c>
      <c r="B80" s="1587"/>
      <c r="C80" s="1587"/>
      <c r="D80" s="1587"/>
      <c r="E80" s="1587"/>
      <c r="F80" s="1587"/>
      <c r="G80" s="1587"/>
      <c r="H80" s="1587"/>
      <c r="I80" s="1587"/>
      <c r="J80" s="1587"/>
      <c r="K80" s="1587"/>
      <c r="L80" s="1588"/>
      <c r="M80" s="604"/>
      <c r="N80" s="609"/>
      <c r="O80" s="609"/>
      <c r="P80" s="609"/>
      <c r="Q80" s="609"/>
      <c r="R80" s="609"/>
      <c r="S80" s="609"/>
      <c r="T80" s="609"/>
      <c r="U80" s="609"/>
      <c r="V80" s="609"/>
      <c r="W80" s="609"/>
      <c r="X80" s="600"/>
      <c r="AG80" s="857"/>
      <c r="AH80" s="857"/>
      <c r="AI80" s="857"/>
      <c r="AJ80" s="857"/>
      <c r="AK80" s="857"/>
      <c r="AL80" s="857"/>
    </row>
    <row r="81" spans="1:38" s="7" customFormat="1" ht="20.100000000000001" customHeight="1">
      <c r="A81" s="951">
        <v>1</v>
      </c>
      <c r="B81" s="855" t="s">
        <v>434</v>
      </c>
      <c r="C81" s="937">
        <f>SUM('107(b)'!C81*1.1)</f>
        <v>36.779600000000002</v>
      </c>
      <c r="D81" s="937">
        <f>SUM('107(b)'!D81*1.1)</f>
        <v>5.462600000000001</v>
      </c>
      <c r="E81" s="937">
        <f>SUM('107(b)'!E81*1.1)</f>
        <v>42.242200000000004</v>
      </c>
      <c r="F81" s="937">
        <f>SUM('107(b)'!F81*1.1)</f>
        <v>0</v>
      </c>
      <c r="G81" s="937">
        <f>SUM('107(b)'!G81*1.1)</f>
        <v>0</v>
      </c>
      <c r="H81" s="937">
        <f>SUM('107(b)'!H81*1.1)</f>
        <v>0</v>
      </c>
      <c r="I81" s="937">
        <f>SUM('107(b)'!I81*1.1)</f>
        <v>7.2000500000000001</v>
      </c>
      <c r="J81" s="937">
        <f>SUM('107(b)'!J81*1.1)</f>
        <v>7.9754400000000008</v>
      </c>
      <c r="K81" s="947">
        <f t="shared" ref="K81:K86" si="50">I81+J81</f>
        <v>15.17549</v>
      </c>
      <c r="L81" s="948">
        <f>E81+K81+H81</f>
        <v>57.417690000000007</v>
      </c>
      <c r="M81" s="604"/>
      <c r="N81" s="862">
        <f>SUM('107(b)'!N81*1.1)</f>
        <v>34.034110000000005</v>
      </c>
      <c r="O81" s="862">
        <f>SUM('107(b)'!O81*1.1)</f>
        <v>0</v>
      </c>
      <c r="P81" s="862">
        <f>SUM('107(b)'!P81*1.1)</f>
        <v>34.034110000000005</v>
      </c>
      <c r="Q81" s="862">
        <f>SUM('107(b)'!Q81*1.1)</f>
        <v>0</v>
      </c>
      <c r="R81" s="862">
        <f>SUM('107(b)'!R81*1.1)</f>
        <v>0</v>
      </c>
      <c r="S81" s="862">
        <f>SUM('107(b)'!S81*1.1)</f>
        <v>0</v>
      </c>
      <c r="T81" s="862">
        <f>SUM('107(b)'!T81*1.1)</f>
        <v>0</v>
      </c>
      <c r="U81" s="862">
        <f>SUM('107(b)'!U81*1.1)</f>
        <v>0</v>
      </c>
      <c r="V81" s="862">
        <f>SUM('107(b)'!V81*1.1)</f>
        <v>0</v>
      </c>
      <c r="W81" s="608">
        <f>P81+V81+S81</f>
        <v>34.034110000000005</v>
      </c>
      <c r="X81" s="601">
        <f t="shared" si="47"/>
        <v>91.45180000000002</v>
      </c>
      <c r="Z81" s="860">
        <f t="shared" ref="Z81:Z85" si="51">SUM(AG81*2)</f>
        <v>128600</v>
      </c>
      <c r="AA81" s="860">
        <f t="shared" ref="AA81:AA85" si="52">SUM(AH81*2)-500</f>
        <v>19100</v>
      </c>
      <c r="AB81" s="860"/>
      <c r="AC81" s="860"/>
      <c r="AD81" s="860"/>
      <c r="AE81" s="860"/>
      <c r="AG81" s="860">
        <v>64300</v>
      </c>
      <c r="AH81" s="860">
        <v>9800</v>
      </c>
      <c r="AI81" s="860"/>
      <c r="AJ81" s="860"/>
      <c r="AK81" s="860"/>
      <c r="AL81" s="860"/>
    </row>
    <row r="82" spans="1:38" s="7" customFormat="1" ht="20.100000000000001" customHeight="1">
      <c r="A82" s="939">
        <v>2</v>
      </c>
      <c r="B82" s="935" t="s">
        <v>388</v>
      </c>
      <c r="C82" s="937">
        <f>SUM('107(b)'!C82*1.1)</f>
        <v>0</v>
      </c>
      <c r="D82" s="937">
        <f>SUM('107(b)'!D82*1.1)</f>
        <v>0</v>
      </c>
      <c r="E82" s="937">
        <f>SUM('107(b)'!E82*1.1)</f>
        <v>0</v>
      </c>
      <c r="F82" s="937">
        <f>SUM('107(b)'!F82*1.1)</f>
        <v>0.49016000000000004</v>
      </c>
      <c r="G82" s="937">
        <f>SUM('107(b)'!G82*1.1)</f>
        <v>0.12408000000000001</v>
      </c>
      <c r="H82" s="937">
        <f>SUM('107(b)'!H82*1.1)</f>
        <v>0.61424000000000001</v>
      </c>
      <c r="I82" s="937">
        <f>SUM('107(b)'!I82*1.1)</f>
        <v>1.8830900000000002</v>
      </c>
      <c r="J82" s="937">
        <f>SUM('107(b)'!J82*1.1)</f>
        <v>0</v>
      </c>
      <c r="K82" s="965">
        <f t="shared" si="50"/>
        <v>1.8830900000000002</v>
      </c>
      <c r="L82" s="966">
        <f>E82+K82</f>
        <v>1.8830900000000002</v>
      </c>
      <c r="M82" s="604"/>
      <c r="N82" s="862">
        <f>SUM('107(b)'!N82*1.1)</f>
        <v>0</v>
      </c>
      <c r="O82" s="862">
        <f>SUM('107(b)'!O82*1.1)</f>
        <v>0</v>
      </c>
      <c r="P82" s="862">
        <f>SUM('107(b)'!P82*1.1)</f>
        <v>0</v>
      </c>
      <c r="Q82" s="862">
        <f>SUM('107(b)'!Q82*1.1)</f>
        <v>0</v>
      </c>
      <c r="R82" s="862">
        <f>SUM('107(b)'!R82*1.1)</f>
        <v>0</v>
      </c>
      <c r="S82" s="862">
        <f>SUM('107(b)'!S82*1.1)</f>
        <v>0</v>
      </c>
      <c r="T82" s="862">
        <f>SUM('107(b)'!T82*1.1)</f>
        <v>0</v>
      </c>
      <c r="U82" s="862">
        <f>SUM('107(b)'!U82*1.1)</f>
        <v>0</v>
      </c>
      <c r="V82" s="862">
        <f>SUM('107(b)'!V82*1.1)</f>
        <v>0</v>
      </c>
      <c r="W82" s="565">
        <f>P82+V82</f>
        <v>0</v>
      </c>
      <c r="X82" s="601">
        <f t="shared" si="47"/>
        <v>1.8830900000000002</v>
      </c>
      <c r="Z82" s="860">
        <f t="shared" si="51"/>
        <v>61600</v>
      </c>
      <c r="AA82" s="860">
        <f t="shared" si="52"/>
        <v>10900</v>
      </c>
      <c r="AB82" s="860">
        <f t="shared" ref="AB82:AB85" si="53">SUM(AI82*2)-500</f>
        <v>55700</v>
      </c>
      <c r="AC82" s="860">
        <f t="shared" ref="AC82:AC85" si="54">SUM(AJ82*2)-500</f>
        <v>14100</v>
      </c>
      <c r="AD82" s="860"/>
      <c r="AE82" s="860"/>
      <c r="AG82" s="860">
        <v>30800</v>
      </c>
      <c r="AH82" s="860">
        <v>5700</v>
      </c>
      <c r="AI82" s="860">
        <v>28100</v>
      </c>
      <c r="AJ82" s="860">
        <v>7300</v>
      </c>
      <c r="AK82" s="860"/>
      <c r="AL82" s="860"/>
    </row>
    <row r="83" spans="1:38" s="7" customFormat="1" ht="20.100000000000001" customHeight="1">
      <c r="A83" s="939">
        <v>3</v>
      </c>
      <c r="B83" s="855" t="s">
        <v>1318</v>
      </c>
      <c r="C83" s="937">
        <f>SUM('107(b)'!C83*1.1)</f>
        <v>4.3483000000000001</v>
      </c>
      <c r="D83" s="937">
        <f>SUM('107(b)'!D83*1.1)</f>
        <v>0.80332999999999999</v>
      </c>
      <c r="E83" s="937">
        <f>SUM('107(b)'!E83*1.1)</f>
        <v>5.1516300000000008</v>
      </c>
      <c r="F83" s="937">
        <f>SUM('107(b)'!F83*1.1)</f>
        <v>0</v>
      </c>
      <c r="G83" s="937">
        <f>SUM('107(b)'!G83*1.1)</f>
        <v>0</v>
      </c>
      <c r="H83" s="937">
        <f>SUM('107(b)'!H83*1.1)</f>
        <v>0</v>
      </c>
      <c r="I83" s="937">
        <f>SUM('107(b)'!I83*1.1)</f>
        <v>0.44308000000000003</v>
      </c>
      <c r="J83" s="937">
        <f>SUM('107(b)'!J83*1.1)</f>
        <v>0.44308000000000003</v>
      </c>
      <c r="K83" s="965">
        <f t="shared" si="50"/>
        <v>0.88616000000000006</v>
      </c>
      <c r="L83" s="966">
        <f>E83+K83</f>
        <v>6.0377900000000011</v>
      </c>
      <c r="M83" s="604"/>
      <c r="N83" s="862">
        <f>SUM('107(b)'!N83*1.1)</f>
        <v>0</v>
      </c>
      <c r="O83" s="862">
        <f>SUM('107(b)'!O83*1.1)</f>
        <v>0</v>
      </c>
      <c r="P83" s="862">
        <f>SUM('107(b)'!P83*1.1)</f>
        <v>0</v>
      </c>
      <c r="Q83" s="862">
        <f>SUM('107(b)'!Q83*1.1)</f>
        <v>0</v>
      </c>
      <c r="R83" s="862">
        <f>SUM('107(b)'!R83*1.1)</f>
        <v>0</v>
      </c>
      <c r="S83" s="862">
        <f>SUM('107(b)'!S83*1.1)</f>
        <v>0</v>
      </c>
      <c r="T83" s="862">
        <f>SUM('107(b)'!T83*1.1)</f>
        <v>0</v>
      </c>
      <c r="U83" s="862">
        <f>SUM('107(b)'!U83*1.1)</f>
        <v>0</v>
      </c>
      <c r="V83" s="862">
        <f>SUM('107(b)'!V83*1.1)</f>
        <v>0</v>
      </c>
      <c r="W83" s="565">
        <f>P83+V83</f>
        <v>0</v>
      </c>
      <c r="X83" s="601">
        <f t="shared" si="47"/>
        <v>6.0377900000000011</v>
      </c>
      <c r="Z83" s="860">
        <f t="shared" si="51"/>
        <v>59000</v>
      </c>
      <c r="AA83" s="860">
        <f t="shared" si="52"/>
        <v>10900</v>
      </c>
      <c r="AB83" s="860"/>
      <c r="AC83" s="860"/>
      <c r="AD83" s="860"/>
      <c r="AE83" s="860"/>
      <c r="AG83" s="860">
        <v>29500</v>
      </c>
      <c r="AH83" s="860">
        <v>5700</v>
      </c>
      <c r="AI83" s="860"/>
      <c r="AJ83" s="860"/>
      <c r="AK83" s="860"/>
      <c r="AL83" s="860"/>
    </row>
    <row r="84" spans="1:38" s="7" customFormat="1" ht="20.100000000000001" customHeight="1">
      <c r="A84" s="939">
        <v>4</v>
      </c>
      <c r="B84" s="855" t="s">
        <v>1331</v>
      </c>
      <c r="C84" s="937">
        <f>SUM('107(b)'!C84*1.1)</f>
        <v>3.7945600000000006</v>
      </c>
      <c r="D84" s="937">
        <f>SUM('107(b)'!D84*1.1)</f>
        <v>0.67144000000000015</v>
      </c>
      <c r="E84" s="937">
        <f>SUM('107(b)'!E84*1.1)</f>
        <v>4.4660000000000011</v>
      </c>
      <c r="F84" s="937">
        <f>SUM('107(b)'!F84*1.1)</f>
        <v>0</v>
      </c>
      <c r="G84" s="937">
        <f>SUM('107(b)'!G84*1.1)</f>
        <v>0</v>
      </c>
      <c r="H84" s="937">
        <f>SUM('107(b)'!H84*1.1)</f>
        <v>0</v>
      </c>
      <c r="I84" s="937">
        <f>SUM('107(b)'!I84*1.1)</f>
        <v>1.8830900000000002</v>
      </c>
      <c r="J84" s="937">
        <f>SUM('107(b)'!J84*1.1)</f>
        <v>0.99693000000000009</v>
      </c>
      <c r="K84" s="965">
        <f t="shared" si="50"/>
        <v>2.88002</v>
      </c>
      <c r="L84" s="966">
        <f>E84+K84</f>
        <v>7.3460200000000011</v>
      </c>
      <c r="M84" s="604"/>
      <c r="N84" s="862">
        <f>SUM('107(b)'!N84*1.1)</f>
        <v>0</v>
      </c>
      <c r="O84" s="862">
        <f>SUM('107(b)'!O84*1.1)</f>
        <v>0</v>
      </c>
      <c r="P84" s="862">
        <f>SUM('107(b)'!P84*1.1)</f>
        <v>0</v>
      </c>
      <c r="Q84" s="862">
        <f>SUM('107(b)'!Q84*1.1)</f>
        <v>0</v>
      </c>
      <c r="R84" s="862">
        <f>SUM('107(b)'!R84*1.1)</f>
        <v>0</v>
      </c>
      <c r="S84" s="862">
        <f>SUM('107(b)'!S84*1.1)</f>
        <v>0</v>
      </c>
      <c r="T84" s="862">
        <f>SUM('107(b)'!T84*1.1)</f>
        <v>0</v>
      </c>
      <c r="U84" s="862">
        <f>SUM('107(b)'!U84*1.1)</f>
        <v>0</v>
      </c>
      <c r="V84" s="862">
        <f>SUM('107(b)'!V84*1.1)</f>
        <v>0</v>
      </c>
      <c r="W84" s="565">
        <f>P84+V84</f>
        <v>0</v>
      </c>
      <c r="X84" s="601">
        <f t="shared" si="47"/>
        <v>7.3460200000000011</v>
      </c>
      <c r="Z84" s="860">
        <f t="shared" si="51"/>
        <v>61600</v>
      </c>
      <c r="AA84" s="860">
        <f t="shared" si="52"/>
        <v>10900</v>
      </c>
      <c r="AB84" s="860">
        <f t="shared" si="53"/>
        <v>101100</v>
      </c>
      <c r="AC84" s="860">
        <f t="shared" si="54"/>
        <v>14100</v>
      </c>
      <c r="AD84" s="860"/>
      <c r="AE84" s="860"/>
      <c r="AG84" s="860">
        <v>30800</v>
      </c>
      <c r="AH84" s="860">
        <v>5700</v>
      </c>
      <c r="AI84" s="860">
        <v>50800</v>
      </c>
      <c r="AJ84" s="860">
        <v>7300</v>
      </c>
      <c r="AK84" s="860"/>
      <c r="AL84" s="860"/>
    </row>
    <row r="85" spans="1:38" s="7" customFormat="1" ht="20.100000000000001" customHeight="1">
      <c r="A85" s="939">
        <v>5</v>
      </c>
      <c r="B85" s="855" t="s">
        <v>1320</v>
      </c>
      <c r="C85" s="937">
        <f>SUM('107(b)'!C85*1.1)</f>
        <v>11.54692</v>
      </c>
      <c r="D85" s="937">
        <f>SUM('107(b)'!D85*1.1)</f>
        <v>1.9543700000000002</v>
      </c>
      <c r="E85" s="937">
        <f>SUM('107(b)'!E85*1.1)</f>
        <v>13.501290000000001</v>
      </c>
      <c r="F85" s="937">
        <f>SUM('107(b)'!F85*1.1)</f>
        <v>2.55783</v>
      </c>
      <c r="G85" s="937">
        <f>SUM('107(b)'!G85*1.1)</f>
        <v>0.35672999999999999</v>
      </c>
      <c r="H85" s="937">
        <f>SUM('107(b)'!H85*1.1)</f>
        <v>2.9145600000000003</v>
      </c>
      <c r="I85" s="937">
        <f>SUM('107(b)'!I85*1.1)</f>
        <v>4.32003</v>
      </c>
      <c r="J85" s="937">
        <f>SUM('107(b)'!J85*1.1)</f>
        <v>1.1076999999999999</v>
      </c>
      <c r="K85" s="965">
        <f t="shared" si="50"/>
        <v>5.4277300000000004</v>
      </c>
      <c r="L85" s="966">
        <f>E85+K85</f>
        <v>18.929020000000001</v>
      </c>
      <c r="M85" s="604"/>
      <c r="N85" s="862">
        <f>SUM('107(b)'!N85*1.1)</f>
        <v>0</v>
      </c>
      <c r="O85" s="862">
        <f>SUM('107(b)'!O85*1.1)</f>
        <v>0</v>
      </c>
      <c r="P85" s="862">
        <f>SUM('107(b)'!P85*1.1)</f>
        <v>0</v>
      </c>
      <c r="Q85" s="862">
        <f>SUM('107(b)'!Q85*1.1)</f>
        <v>0</v>
      </c>
      <c r="R85" s="862">
        <f>SUM('107(b)'!R85*1.1)</f>
        <v>0</v>
      </c>
      <c r="S85" s="862">
        <f>SUM('107(b)'!S85*1.1)</f>
        <v>0</v>
      </c>
      <c r="T85" s="862">
        <f>SUM('107(b)'!T85*1.1)</f>
        <v>0</v>
      </c>
      <c r="U85" s="862">
        <f>SUM('107(b)'!U85*1.1)</f>
        <v>0</v>
      </c>
      <c r="V85" s="862">
        <f>SUM('107(b)'!V85*1.1)</f>
        <v>0</v>
      </c>
      <c r="W85" s="565">
        <f>P85+V85</f>
        <v>0</v>
      </c>
      <c r="X85" s="601">
        <f t="shared" si="47"/>
        <v>18.929020000000001</v>
      </c>
      <c r="Z85" s="860">
        <f t="shared" si="51"/>
        <v>64400</v>
      </c>
      <c r="AA85" s="860">
        <f t="shared" si="52"/>
        <v>10900</v>
      </c>
      <c r="AB85" s="860">
        <f t="shared" si="53"/>
        <v>101100</v>
      </c>
      <c r="AC85" s="860">
        <f t="shared" si="54"/>
        <v>14100</v>
      </c>
      <c r="AD85" s="860"/>
      <c r="AE85" s="860"/>
      <c r="AG85" s="860">
        <v>32200</v>
      </c>
      <c r="AH85" s="860">
        <v>5700</v>
      </c>
      <c r="AI85" s="860">
        <v>50800</v>
      </c>
      <c r="AJ85" s="860">
        <v>7300</v>
      </c>
      <c r="AK85" s="860"/>
      <c r="AL85" s="860"/>
    </row>
    <row r="86" spans="1:38" s="7" customFormat="1" ht="20.100000000000001" customHeight="1">
      <c r="A86" s="941">
        <v>6</v>
      </c>
      <c r="B86" s="942"/>
      <c r="C86" s="960"/>
      <c r="D86" s="961"/>
      <c r="E86" s="967">
        <f t="shared" ref="E86" si="55">C86+D86</f>
        <v>0</v>
      </c>
      <c r="F86" s="962"/>
      <c r="G86" s="963"/>
      <c r="H86" s="968">
        <f t="shared" ref="H86" si="56">F86+G86</f>
        <v>0</v>
      </c>
      <c r="I86" s="960"/>
      <c r="J86" s="961"/>
      <c r="K86" s="969">
        <f t="shared" si="50"/>
        <v>0</v>
      </c>
      <c r="L86" s="966">
        <f>E86+K86</f>
        <v>0</v>
      </c>
      <c r="M86" s="604"/>
      <c r="N86" s="862">
        <f>SUM('107(b)'!N86*1.1)</f>
        <v>0</v>
      </c>
      <c r="O86" s="862">
        <f>SUM('107(b)'!O86*1.1)</f>
        <v>0</v>
      </c>
      <c r="P86" s="862">
        <f>SUM('107(b)'!P86*1.1)</f>
        <v>0</v>
      </c>
      <c r="Q86" s="862">
        <f>SUM('107(b)'!Q86*1.1)</f>
        <v>0</v>
      </c>
      <c r="R86" s="862">
        <f>SUM('107(b)'!R86*1.1)</f>
        <v>0</v>
      </c>
      <c r="S86" s="862">
        <f>SUM('107(b)'!S86*1.1)</f>
        <v>0</v>
      </c>
      <c r="T86" s="862">
        <f>SUM('107(b)'!T86*1.1)</f>
        <v>0</v>
      </c>
      <c r="U86" s="862">
        <f>SUM('107(b)'!U86*1.1)</f>
        <v>0</v>
      </c>
      <c r="V86" s="862">
        <f>SUM('107(b)'!V86*1.1)</f>
        <v>0</v>
      </c>
      <c r="W86" s="565">
        <f>P86+V86</f>
        <v>0</v>
      </c>
      <c r="X86" s="601">
        <f t="shared" si="47"/>
        <v>0</v>
      </c>
      <c r="Z86" s="860"/>
      <c r="AA86" s="860"/>
      <c r="AB86" s="860"/>
      <c r="AC86" s="860"/>
      <c r="AD86" s="860"/>
      <c r="AE86" s="860"/>
      <c r="AG86" s="860"/>
      <c r="AH86" s="860"/>
      <c r="AI86" s="860"/>
      <c r="AJ86" s="860"/>
      <c r="AK86" s="860"/>
      <c r="AL86" s="860"/>
    </row>
    <row r="87" spans="1:38" ht="20.100000000000001" customHeight="1">
      <c r="A87" s="1584" t="s">
        <v>752</v>
      </c>
      <c r="B87" s="1585"/>
      <c r="C87" s="943">
        <f>SUM(C81:C85)</f>
        <v>56.469380000000001</v>
      </c>
      <c r="D87" s="943">
        <f t="shared" ref="D87:L87" si="57">SUM(D81:D85)</f>
        <v>8.8917400000000022</v>
      </c>
      <c r="E87" s="943">
        <f t="shared" si="57"/>
        <v>65.361120000000014</v>
      </c>
      <c r="F87" s="943">
        <f t="shared" si="57"/>
        <v>3.04799</v>
      </c>
      <c r="G87" s="943">
        <f t="shared" si="57"/>
        <v>0.48081000000000002</v>
      </c>
      <c r="H87" s="943">
        <f t="shared" si="57"/>
        <v>3.5288000000000004</v>
      </c>
      <c r="I87" s="943">
        <f t="shared" si="57"/>
        <v>15.729340000000001</v>
      </c>
      <c r="J87" s="943">
        <f t="shared" si="57"/>
        <v>10.523150000000001</v>
      </c>
      <c r="K87" s="949">
        <f t="shared" si="57"/>
        <v>26.252489999999998</v>
      </c>
      <c r="L87" s="943">
        <f t="shared" si="57"/>
        <v>91.613609999999994</v>
      </c>
      <c r="M87" s="604"/>
      <c r="N87" s="865">
        <f>SUM(N81:N85)</f>
        <v>34.034110000000005</v>
      </c>
      <c r="O87" s="560">
        <f t="shared" ref="O87:W87" si="58">SUM(O81:O85)</f>
        <v>0</v>
      </c>
      <c r="P87" s="560">
        <f t="shared" si="58"/>
        <v>34.034110000000005</v>
      </c>
      <c r="Q87" s="560">
        <f t="shared" si="58"/>
        <v>0</v>
      </c>
      <c r="R87" s="560">
        <f t="shared" si="58"/>
        <v>0</v>
      </c>
      <c r="S87" s="560">
        <f t="shared" si="58"/>
        <v>0</v>
      </c>
      <c r="T87" s="560">
        <f t="shared" si="58"/>
        <v>0</v>
      </c>
      <c r="U87" s="560">
        <f t="shared" si="58"/>
        <v>0</v>
      </c>
      <c r="V87" s="575">
        <f t="shared" si="58"/>
        <v>0</v>
      </c>
      <c r="W87" s="560">
        <f t="shared" si="58"/>
        <v>34.034110000000005</v>
      </c>
      <c r="X87" s="601">
        <f t="shared" si="47"/>
        <v>125.64771999999999</v>
      </c>
      <c r="AG87" s="857"/>
      <c r="AH87" s="857"/>
      <c r="AI87" s="857"/>
      <c r="AJ87" s="857"/>
      <c r="AK87" s="857"/>
      <c r="AL87" s="857"/>
    </row>
    <row r="88" spans="1:38" ht="15" customHeight="1">
      <c r="A88" s="1586" t="s">
        <v>148</v>
      </c>
      <c r="B88" s="1587"/>
      <c r="C88" s="1587"/>
      <c r="D88" s="1587"/>
      <c r="E88" s="1587"/>
      <c r="F88" s="1587"/>
      <c r="G88" s="1587"/>
      <c r="H88" s="1587"/>
      <c r="I88" s="1587"/>
      <c r="J88" s="1587"/>
      <c r="K88" s="1587"/>
      <c r="L88" s="1588"/>
      <c r="M88" s="604"/>
      <c r="N88" s="609"/>
      <c r="O88" s="609"/>
      <c r="P88" s="609"/>
      <c r="Q88" s="609"/>
      <c r="R88" s="609"/>
      <c r="S88" s="609"/>
      <c r="T88" s="609"/>
      <c r="U88" s="609"/>
      <c r="V88" s="609"/>
      <c r="W88" s="609"/>
      <c r="X88" s="600"/>
      <c r="AG88" s="857"/>
      <c r="AH88" s="857"/>
      <c r="AI88" s="857"/>
      <c r="AJ88" s="857"/>
      <c r="AK88" s="857"/>
      <c r="AL88" s="857"/>
    </row>
    <row r="89" spans="1:38" s="7" customFormat="1" ht="20.100000000000001" customHeight="1">
      <c r="A89" s="951">
        <v>1</v>
      </c>
      <c r="B89" s="952"/>
      <c r="C89" s="953"/>
      <c r="D89" s="953"/>
      <c r="E89" s="954">
        <f t="shared" ref="E89:E94" si="59">C89+D89</f>
        <v>0</v>
      </c>
      <c r="F89" s="954"/>
      <c r="G89" s="954"/>
      <c r="H89" s="954">
        <f t="shared" ref="H89:H94" si="60">F89+G89</f>
        <v>0</v>
      </c>
      <c r="I89" s="953"/>
      <c r="J89" s="953"/>
      <c r="K89" s="955">
        <f t="shared" ref="K89:K94" si="61">I89+J89</f>
        <v>0</v>
      </c>
      <c r="L89" s="938">
        <f>E89+K89+H89</f>
        <v>0</v>
      </c>
      <c r="M89" s="604"/>
      <c r="N89" s="271"/>
      <c r="O89" s="271"/>
      <c r="P89" s="606">
        <f t="shared" ref="P89:P94" si="62">N89+O89</f>
        <v>0</v>
      </c>
      <c r="Q89" s="606"/>
      <c r="R89" s="606"/>
      <c r="S89" s="606">
        <f t="shared" ref="S89:S94" si="63">Q89+R89</f>
        <v>0</v>
      </c>
      <c r="T89" s="271"/>
      <c r="U89" s="271"/>
      <c r="V89" s="607">
        <f t="shared" ref="V89:V94" si="64">T89+U89</f>
        <v>0</v>
      </c>
      <c r="W89" s="608">
        <f>P89+V89+S89</f>
        <v>0</v>
      </c>
      <c r="X89" s="601">
        <f t="shared" si="47"/>
        <v>0</v>
      </c>
      <c r="Z89" s="860"/>
      <c r="AA89" s="860"/>
      <c r="AB89" s="860"/>
      <c r="AC89" s="860"/>
      <c r="AD89" s="860"/>
      <c r="AE89" s="860"/>
      <c r="AG89" s="860"/>
      <c r="AH89" s="860"/>
      <c r="AI89" s="860"/>
      <c r="AJ89" s="860"/>
      <c r="AK89" s="860"/>
      <c r="AL89" s="860"/>
    </row>
    <row r="90" spans="1:38" s="7" customFormat="1" ht="20.100000000000001" hidden="1" customHeight="1">
      <c r="A90" s="939">
        <v>2</v>
      </c>
      <c r="B90" s="956"/>
      <c r="C90" s="957"/>
      <c r="D90" s="957"/>
      <c r="E90" s="958">
        <f t="shared" si="59"/>
        <v>0</v>
      </c>
      <c r="F90" s="958"/>
      <c r="G90" s="958"/>
      <c r="H90" s="958">
        <f t="shared" si="60"/>
        <v>0</v>
      </c>
      <c r="I90" s="957"/>
      <c r="J90" s="957"/>
      <c r="K90" s="959">
        <f t="shared" si="61"/>
        <v>0</v>
      </c>
      <c r="L90" s="940">
        <f>E90+K90</f>
        <v>0</v>
      </c>
      <c r="M90" s="604"/>
      <c r="N90" s="238"/>
      <c r="O90" s="238"/>
      <c r="P90" s="239">
        <f t="shared" si="62"/>
        <v>0</v>
      </c>
      <c r="Q90" s="239"/>
      <c r="R90" s="239"/>
      <c r="S90" s="239">
        <f t="shared" si="63"/>
        <v>0</v>
      </c>
      <c r="T90" s="238"/>
      <c r="U90" s="238"/>
      <c r="V90" s="564">
        <f t="shared" si="64"/>
        <v>0</v>
      </c>
      <c r="W90" s="565">
        <f>P90+V90</f>
        <v>0</v>
      </c>
      <c r="X90" s="601">
        <f t="shared" si="47"/>
        <v>0</v>
      </c>
      <c r="Z90" s="860"/>
      <c r="AA90" s="860"/>
      <c r="AB90" s="860"/>
      <c r="AC90" s="860"/>
      <c r="AD90" s="860"/>
      <c r="AE90" s="860"/>
      <c r="AG90" s="860"/>
      <c r="AH90" s="860"/>
      <c r="AI90" s="860"/>
      <c r="AJ90" s="860"/>
      <c r="AK90" s="860"/>
      <c r="AL90" s="860"/>
    </row>
    <row r="91" spans="1:38" s="7" customFormat="1" ht="20.100000000000001" hidden="1" customHeight="1">
      <c r="A91" s="939">
        <v>3</v>
      </c>
      <c r="B91" s="956"/>
      <c r="C91" s="957"/>
      <c r="D91" s="957"/>
      <c r="E91" s="958">
        <f t="shared" si="59"/>
        <v>0</v>
      </c>
      <c r="F91" s="958"/>
      <c r="G91" s="958"/>
      <c r="H91" s="958">
        <f t="shared" si="60"/>
        <v>0</v>
      </c>
      <c r="I91" s="957"/>
      <c r="J91" s="957"/>
      <c r="K91" s="959">
        <f t="shared" si="61"/>
        <v>0</v>
      </c>
      <c r="L91" s="940">
        <f>E91+K91</f>
        <v>0</v>
      </c>
      <c r="M91" s="604"/>
      <c r="N91" s="238"/>
      <c r="O91" s="238"/>
      <c r="P91" s="239">
        <f t="shared" si="62"/>
        <v>0</v>
      </c>
      <c r="Q91" s="239"/>
      <c r="R91" s="239"/>
      <c r="S91" s="239">
        <f t="shared" si="63"/>
        <v>0</v>
      </c>
      <c r="T91" s="238"/>
      <c r="U91" s="238"/>
      <c r="V91" s="564">
        <f t="shared" si="64"/>
        <v>0</v>
      </c>
      <c r="W91" s="565">
        <f>P91+V91</f>
        <v>0</v>
      </c>
      <c r="X91" s="601">
        <f t="shared" si="47"/>
        <v>0</v>
      </c>
      <c r="Z91" s="860"/>
      <c r="AA91" s="860"/>
      <c r="AB91" s="860"/>
      <c r="AC91" s="860"/>
      <c r="AD91" s="860"/>
      <c r="AE91" s="860"/>
      <c r="AG91" s="860"/>
      <c r="AH91" s="860"/>
      <c r="AI91" s="860"/>
      <c r="AJ91" s="860"/>
      <c r="AK91" s="860"/>
      <c r="AL91" s="860"/>
    </row>
    <row r="92" spans="1:38" s="7" customFormat="1" ht="20.100000000000001" hidden="1" customHeight="1">
      <c r="A92" s="939">
        <v>4</v>
      </c>
      <c r="B92" s="956"/>
      <c r="C92" s="957"/>
      <c r="D92" s="957"/>
      <c r="E92" s="958">
        <f t="shared" si="59"/>
        <v>0</v>
      </c>
      <c r="F92" s="958"/>
      <c r="G92" s="958"/>
      <c r="H92" s="958">
        <f t="shared" si="60"/>
        <v>0</v>
      </c>
      <c r="I92" s="957"/>
      <c r="J92" s="957"/>
      <c r="K92" s="959">
        <f t="shared" si="61"/>
        <v>0</v>
      </c>
      <c r="L92" s="940">
        <f>E92+K92</f>
        <v>0</v>
      </c>
      <c r="M92" s="604"/>
      <c r="N92" s="238"/>
      <c r="O92" s="238"/>
      <c r="P92" s="239">
        <f t="shared" si="62"/>
        <v>0</v>
      </c>
      <c r="Q92" s="239"/>
      <c r="R92" s="239"/>
      <c r="S92" s="239">
        <f t="shared" si="63"/>
        <v>0</v>
      </c>
      <c r="T92" s="238"/>
      <c r="U92" s="238"/>
      <c r="V92" s="564">
        <f t="shared" si="64"/>
        <v>0</v>
      </c>
      <c r="W92" s="565">
        <f>P92+V92</f>
        <v>0</v>
      </c>
      <c r="X92" s="601">
        <f t="shared" si="47"/>
        <v>0</v>
      </c>
      <c r="Z92" s="860"/>
      <c r="AA92" s="860"/>
      <c r="AB92" s="860"/>
      <c r="AC92" s="860"/>
      <c r="AD92" s="860"/>
      <c r="AE92" s="860"/>
      <c r="AG92" s="860"/>
      <c r="AH92" s="860"/>
      <c r="AI92" s="860"/>
      <c r="AJ92" s="860"/>
      <c r="AK92" s="860"/>
      <c r="AL92" s="860"/>
    </row>
    <row r="93" spans="1:38" s="7" customFormat="1" ht="20.100000000000001" hidden="1" customHeight="1">
      <c r="A93" s="939">
        <v>5</v>
      </c>
      <c r="B93" s="956"/>
      <c r="C93" s="957"/>
      <c r="D93" s="957"/>
      <c r="E93" s="958">
        <f t="shared" si="59"/>
        <v>0</v>
      </c>
      <c r="F93" s="958"/>
      <c r="G93" s="958"/>
      <c r="H93" s="958">
        <f t="shared" si="60"/>
        <v>0</v>
      </c>
      <c r="I93" s="957"/>
      <c r="J93" s="957"/>
      <c r="K93" s="959">
        <f t="shared" si="61"/>
        <v>0</v>
      </c>
      <c r="L93" s="940">
        <f>E93+K93</f>
        <v>0</v>
      </c>
      <c r="M93" s="604"/>
      <c r="N93" s="238"/>
      <c r="O93" s="238"/>
      <c r="P93" s="239">
        <f t="shared" si="62"/>
        <v>0</v>
      </c>
      <c r="Q93" s="239"/>
      <c r="R93" s="239"/>
      <c r="S93" s="239">
        <f t="shared" si="63"/>
        <v>0</v>
      </c>
      <c r="T93" s="238"/>
      <c r="U93" s="238"/>
      <c r="V93" s="564">
        <f t="shared" si="64"/>
        <v>0</v>
      </c>
      <c r="W93" s="565">
        <f>P93+V93</f>
        <v>0</v>
      </c>
      <c r="X93" s="601">
        <f t="shared" si="47"/>
        <v>0</v>
      </c>
      <c r="Z93" s="860"/>
      <c r="AA93" s="860"/>
      <c r="AB93" s="860"/>
      <c r="AC93" s="860"/>
      <c r="AD93" s="860"/>
      <c r="AE93" s="860"/>
      <c r="AG93" s="860"/>
      <c r="AH93" s="860"/>
      <c r="AI93" s="860"/>
      <c r="AJ93" s="860"/>
      <c r="AK93" s="860"/>
      <c r="AL93" s="860"/>
    </row>
    <row r="94" spans="1:38" s="7" customFormat="1" ht="20.100000000000001" hidden="1" customHeight="1">
      <c r="A94" s="941">
        <v>6</v>
      </c>
      <c r="B94" s="942"/>
      <c r="C94" s="960"/>
      <c r="D94" s="961"/>
      <c r="E94" s="962">
        <f t="shared" si="59"/>
        <v>0</v>
      </c>
      <c r="F94" s="962"/>
      <c r="G94" s="963"/>
      <c r="H94" s="963">
        <f t="shared" si="60"/>
        <v>0</v>
      </c>
      <c r="I94" s="960"/>
      <c r="J94" s="961"/>
      <c r="K94" s="964">
        <f t="shared" si="61"/>
        <v>0</v>
      </c>
      <c r="L94" s="940">
        <f>E94+K94</f>
        <v>0</v>
      </c>
      <c r="M94" s="604"/>
      <c r="N94" s="359"/>
      <c r="O94" s="237"/>
      <c r="P94" s="198">
        <f t="shared" si="62"/>
        <v>0</v>
      </c>
      <c r="Q94" s="198"/>
      <c r="R94" s="563"/>
      <c r="S94" s="563">
        <f t="shared" si="63"/>
        <v>0</v>
      </c>
      <c r="T94" s="359"/>
      <c r="U94" s="237"/>
      <c r="V94" s="574">
        <f t="shared" si="64"/>
        <v>0</v>
      </c>
      <c r="W94" s="565">
        <f>P94+V94</f>
        <v>0</v>
      </c>
      <c r="X94" s="601">
        <f t="shared" si="47"/>
        <v>0</v>
      </c>
      <c r="Z94" s="860"/>
      <c r="AA94" s="860"/>
      <c r="AB94" s="860"/>
      <c r="AC94" s="860"/>
      <c r="AD94" s="860"/>
      <c r="AE94" s="860"/>
      <c r="AG94" s="860"/>
      <c r="AH94" s="860"/>
      <c r="AI94" s="860"/>
      <c r="AJ94" s="860"/>
      <c r="AK94" s="860"/>
      <c r="AL94" s="860"/>
    </row>
    <row r="95" spans="1:38" ht="20.100000000000001" customHeight="1">
      <c r="A95" s="1584" t="s">
        <v>752</v>
      </c>
      <c r="B95" s="1585"/>
      <c r="C95" s="944">
        <f>SUM(C89:C93)</f>
        <v>0</v>
      </c>
      <c r="D95" s="944">
        <f t="shared" ref="D95:L95" si="65">SUM(D89:D93)</f>
        <v>0</v>
      </c>
      <c r="E95" s="944">
        <f t="shared" si="65"/>
        <v>0</v>
      </c>
      <c r="F95" s="944">
        <f t="shared" si="65"/>
        <v>0</v>
      </c>
      <c r="G95" s="944">
        <f t="shared" si="65"/>
        <v>0</v>
      </c>
      <c r="H95" s="944">
        <f t="shared" si="65"/>
        <v>0</v>
      </c>
      <c r="I95" s="944">
        <f t="shared" si="65"/>
        <v>0</v>
      </c>
      <c r="J95" s="944">
        <f t="shared" si="65"/>
        <v>0</v>
      </c>
      <c r="K95" s="945">
        <f t="shared" si="65"/>
        <v>0</v>
      </c>
      <c r="L95" s="944">
        <f t="shared" si="65"/>
        <v>0</v>
      </c>
      <c r="M95" s="604"/>
      <c r="N95" s="560">
        <f>SUM(N89:N93)</f>
        <v>0</v>
      </c>
      <c r="O95" s="560">
        <f t="shared" ref="O95:W95" si="66">SUM(O89:O93)</f>
        <v>0</v>
      </c>
      <c r="P95" s="560">
        <f t="shared" si="66"/>
        <v>0</v>
      </c>
      <c r="Q95" s="560">
        <f t="shared" si="66"/>
        <v>0</v>
      </c>
      <c r="R95" s="560">
        <f t="shared" si="66"/>
        <v>0</v>
      </c>
      <c r="S95" s="560">
        <f t="shared" si="66"/>
        <v>0</v>
      </c>
      <c r="T95" s="560">
        <f t="shared" si="66"/>
        <v>0</v>
      </c>
      <c r="U95" s="560">
        <f t="shared" si="66"/>
        <v>0</v>
      </c>
      <c r="V95" s="575">
        <f t="shared" si="66"/>
        <v>0</v>
      </c>
      <c r="W95" s="560">
        <f t="shared" si="66"/>
        <v>0</v>
      </c>
      <c r="X95" s="601">
        <f t="shared" si="47"/>
        <v>0</v>
      </c>
      <c r="AG95" s="857"/>
      <c r="AH95" s="857"/>
      <c r="AI95" s="857"/>
      <c r="AJ95" s="857"/>
      <c r="AK95" s="857"/>
      <c r="AL95" s="857"/>
    </row>
    <row r="96" spans="1:38" ht="15" customHeight="1">
      <c r="A96" s="1586" t="s">
        <v>149</v>
      </c>
      <c r="B96" s="1587"/>
      <c r="C96" s="1587"/>
      <c r="D96" s="1587"/>
      <c r="E96" s="1587"/>
      <c r="F96" s="1587"/>
      <c r="G96" s="1587"/>
      <c r="H96" s="1587"/>
      <c r="I96" s="1587"/>
      <c r="J96" s="1587"/>
      <c r="K96" s="1587"/>
      <c r="L96" s="1588"/>
      <c r="M96" s="604"/>
      <c r="N96" s="609"/>
      <c r="O96" s="609"/>
      <c r="P96" s="609"/>
      <c r="Q96" s="609"/>
      <c r="R96" s="609"/>
      <c r="S96" s="609"/>
      <c r="T96" s="609"/>
      <c r="U96" s="609"/>
      <c r="V96" s="609"/>
      <c r="W96" s="609"/>
      <c r="X96" s="600"/>
      <c r="AG96" s="857"/>
      <c r="AH96" s="857"/>
      <c r="AI96" s="857"/>
      <c r="AJ96" s="857"/>
      <c r="AK96" s="857"/>
      <c r="AL96" s="857"/>
    </row>
    <row r="97" spans="1:38" s="7" customFormat="1" ht="20.100000000000001" customHeight="1">
      <c r="A97" s="951">
        <v>1</v>
      </c>
      <c r="B97" s="952"/>
      <c r="C97" s="953"/>
      <c r="D97" s="953"/>
      <c r="E97" s="954">
        <f t="shared" ref="E97:E102" si="67">C97+D97</f>
        <v>0</v>
      </c>
      <c r="F97" s="954"/>
      <c r="G97" s="954"/>
      <c r="H97" s="954">
        <f t="shared" ref="H97:H102" si="68">F97+G97</f>
        <v>0</v>
      </c>
      <c r="I97" s="953"/>
      <c r="J97" s="953"/>
      <c r="K97" s="955">
        <f t="shared" ref="K97:K102" si="69">I97+J97</f>
        <v>0</v>
      </c>
      <c r="L97" s="938">
        <f>E97+K97+H97</f>
        <v>0</v>
      </c>
      <c r="M97" s="604"/>
      <c r="N97" s="271"/>
      <c r="O97" s="271"/>
      <c r="P97" s="606">
        <f t="shared" ref="P97:P102" si="70">N97+O97</f>
        <v>0</v>
      </c>
      <c r="Q97" s="606"/>
      <c r="R97" s="606"/>
      <c r="S97" s="606">
        <f t="shared" ref="S97:S102" si="71">Q97+R97</f>
        <v>0</v>
      </c>
      <c r="T97" s="271"/>
      <c r="U97" s="271"/>
      <c r="V97" s="607">
        <f t="shared" ref="V97:V102" si="72">T97+U97</f>
        <v>0</v>
      </c>
      <c r="W97" s="608">
        <f>P97+V97+S97</f>
        <v>0</v>
      </c>
      <c r="X97" s="601">
        <f t="shared" si="47"/>
        <v>0</v>
      </c>
      <c r="Z97" s="860"/>
      <c r="AA97" s="860"/>
      <c r="AB97" s="860"/>
      <c r="AC97" s="860"/>
      <c r="AD97" s="860"/>
      <c r="AE97" s="860"/>
      <c r="AG97" s="860"/>
      <c r="AH97" s="860"/>
      <c r="AI97" s="860"/>
      <c r="AJ97" s="860"/>
      <c r="AK97" s="860"/>
      <c r="AL97" s="860"/>
    </row>
    <row r="98" spans="1:38" s="7" customFormat="1" ht="20.100000000000001" customHeight="1">
      <c r="A98" s="939">
        <v>2</v>
      </c>
      <c r="B98" s="956"/>
      <c r="C98" s="957"/>
      <c r="D98" s="957"/>
      <c r="E98" s="958">
        <f t="shared" si="67"/>
        <v>0</v>
      </c>
      <c r="F98" s="958"/>
      <c r="G98" s="958"/>
      <c r="H98" s="958">
        <f t="shared" si="68"/>
        <v>0</v>
      </c>
      <c r="I98" s="957"/>
      <c r="J98" s="957"/>
      <c r="K98" s="959">
        <f t="shared" si="69"/>
        <v>0</v>
      </c>
      <c r="L98" s="940">
        <f>E98+K98</f>
        <v>0</v>
      </c>
      <c r="M98" s="604"/>
      <c r="N98" s="238"/>
      <c r="O98" s="238"/>
      <c r="P98" s="239">
        <f t="shared" si="70"/>
        <v>0</v>
      </c>
      <c r="Q98" s="239"/>
      <c r="R98" s="239"/>
      <c r="S98" s="239">
        <f t="shared" si="71"/>
        <v>0</v>
      </c>
      <c r="T98" s="238"/>
      <c r="U98" s="238"/>
      <c r="V98" s="564">
        <f t="shared" si="72"/>
        <v>0</v>
      </c>
      <c r="W98" s="565">
        <f>P98+V98</f>
        <v>0</v>
      </c>
      <c r="X98" s="601">
        <f t="shared" si="47"/>
        <v>0</v>
      </c>
      <c r="Z98" s="860"/>
      <c r="AA98" s="860"/>
      <c r="AB98" s="860"/>
      <c r="AC98" s="860"/>
      <c r="AD98" s="860"/>
      <c r="AE98" s="860"/>
      <c r="AG98" s="860"/>
      <c r="AH98" s="860"/>
      <c r="AI98" s="860"/>
      <c r="AJ98" s="860"/>
      <c r="AK98" s="860"/>
      <c r="AL98" s="860"/>
    </row>
    <row r="99" spans="1:38" s="7" customFormat="1" ht="20.100000000000001" hidden="1" customHeight="1">
      <c r="A99" s="939">
        <v>3</v>
      </c>
      <c r="B99" s="956"/>
      <c r="C99" s="957"/>
      <c r="D99" s="957"/>
      <c r="E99" s="958">
        <f t="shared" si="67"/>
        <v>0</v>
      </c>
      <c r="F99" s="958"/>
      <c r="G99" s="958"/>
      <c r="H99" s="958">
        <f t="shared" si="68"/>
        <v>0</v>
      </c>
      <c r="I99" s="957"/>
      <c r="J99" s="957"/>
      <c r="K99" s="959">
        <f t="shared" si="69"/>
        <v>0</v>
      </c>
      <c r="L99" s="940">
        <f>E99+K99</f>
        <v>0</v>
      </c>
      <c r="M99" s="604"/>
      <c r="N99" s="238"/>
      <c r="O99" s="238"/>
      <c r="P99" s="239">
        <f t="shared" si="70"/>
        <v>0</v>
      </c>
      <c r="Q99" s="239"/>
      <c r="R99" s="239"/>
      <c r="S99" s="239">
        <f t="shared" si="71"/>
        <v>0</v>
      </c>
      <c r="T99" s="238"/>
      <c r="U99" s="238"/>
      <c r="V99" s="564">
        <f t="shared" si="72"/>
        <v>0</v>
      </c>
      <c r="W99" s="565">
        <f>P99+V99</f>
        <v>0</v>
      </c>
      <c r="X99" s="601">
        <f t="shared" si="47"/>
        <v>0</v>
      </c>
      <c r="Z99" s="860"/>
      <c r="AA99" s="860"/>
      <c r="AB99" s="860"/>
      <c r="AC99" s="860"/>
      <c r="AD99" s="860"/>
      <c r="AE99" s="860"/>
      <c r="AG99" s="860"/>
      <c r="AH99" s="860"/>
      <c r="AI99" s="860"/>
      <c r="AJ99" s="860"/>
      <c r="AK99" s="860"/>
      <c r="AL99" s="860"/>
    </row>
    <row r="100" spans="1:38" s="7" customFormat="1" ht="20.100000000000001" hidden="1" customHeight="1">
      <c r="A100" s="939">
        <v>4</v>
      </c>
      <c r="B100" s="956"/>
      <c r="C100" s="957"/>
      <c r="D100" s="957"/>
      <c r="E100" s="958">
        <f t="shared" si="67"/>
        <v>0</v>
      </c>
      <c r="F100" s="958"/>
      <c r="G100" s="958"/>
      <c r="H100" s="958">
        <f t="shared" si="68"/>
        <v>0</v>
      </c>
      <c r="I100" s="957"/>
      <c r="J100" s="957"/>
      <c r="K100" s="959">
        <f t="shared" si="69"/>
        <v>0</v>
      </c>
      <c r="L100" s="940">
        <f>E100+K100</f>
        <v>0</v>
      </c>
      <c r="M100" s="604"/>
      <c r="N100" s="238"/>
      <c r="O100" s="238"/>
      <c r="P100" s="239">
        <f t="shared" si="70"/>
        <v>0</v>
      </c>
      <c r="Q100" s="239"/>
      <c r="R100" s="239"/>
      <c r="S100" s="239">
        <f t="shared" si="71"/>
        <v>0</v>
      </c>
      <c r="T100" s="238"/>
      <c r="U100" s="238"/>
      <c r="V100" s="564">
        <f t="shared" si="72"/>
        <v>0</v>
      </c>
      <c r="W100" s="565">
        <f>P100+V100</f>
        <v>0</v>
      </c>
      <c r="X100" s="601">
        <f t="shared" si="47"/>
        <v>0</v>
      </c>
      <c r="Z100" s="860"/>
      <c r="AA100" s="860"/>
      <c r="AB100" s="860"/>
      <c r="AC100" s="860"/>
      <c r="AD100" s="860"/>
      <c r="AE100" s="860"/>
      <c r="AG100" s="860"/>
      <c r="AH100" s="860"/>
      <c r="AI100" s="860"/>
      <c r="AJ100" s="860"/>
      <c r="AK100" s="860"/>
      <c r="AL100" s="860"/>
    </row>
    <row r="101" spans="1:38" s="7" customFormat="1" ht="20.100000000000001" hidden="1" customHeight="1">
      <c r="A101" s="939">
        <v>5</v>
      </c>
      <c r="B101" s="956"/>
      <c r="C101" s="957"/>
      <c r="D101" s="957"/>
      <c r="E101" s="958">
        <f t="shared" si="67"/>
        <v>0</v>
      </c>
      <c r="F101" s="958"/>
      <c r="G101" s="958"/>
      <c r="H101" s="958">
        <f t="shared" si="68"/>
        <v>0</v>
      </c>
      <c r="I101" s="957"/>
      <c r="J101" s="957"/>
      <c r="K101" s="959">
        <f t="shared" si="69"/>
        <v>0</v>
      </c>
      <c r="L101" s="940">
        <f>E101+K101</f>
        <v>0</v>
      </c>
      <c r="M101" s="604"/>
      <c r="N101" s="238"/>
      <c r="O101" s="238"/>
      <c r="P101" s="239">
        <f t="shared" si="70"/>
        <v>0</v>
      </c>
      <c r="Q101" s="239"/>
      <c r="R101" s="239"/>
      <c r="S101" s="239">
        <f t="shared" si="71"/>
        <v>0</v>
      </c>
      <c r="T101" s="238"/>
      <c r="U101" s="238"/>
      <c r="V101" s="564">
        <f t="shared" si="72"/>
        <v>0</v>
      </c>
      <c r="W101" s="565">
        <f>P101+V101</f>
        <v>0</v>
      </c>
      <c r="X101" s="601">
        <f t="shared" si="47"/>
        <v>0</v>
      </c>
      <c r="Z101" s="860"/>
      <c r="AA101" s="860"/>
      <c r="AB101" s="860"/>
      <c r="AC101" s="860"/>
      <c r="AD101" s="860"/>
      <c r="AE101" s="860"/>
      <c r="AG101" s="860"/>
      <c r="AH101" s="860"/>
      <c r="AI101" s="860"/>
      <c r="AJ101" s="860"/>
      <c r="AK101" s="860"/>
      <c r="AL101" s="860"/>
    </row>
    <row r="102" spans="1:38" s="7" customFormat="1" ht="20.100000000000001" hidden="1" customHeight="1">
      <c r="A102" s="941">
        <v>6</v>
      </c>
      <c r="B102" s="942"/>
      <c r="C102" s="960"/>
      <c r="D102" s="961"/>
      <c r="E102" s="962">
        <f t="shared" si="67"/>
        <v>0</v>
      </c>
      <c r="F102" s="962"/>
      <c r="G102" s="963"/>
      <c r="H102" s="963">
        <f t="shared" si="68"/>
        <v>0</v>
      </c>
      <c r="I102" s="960"/>
      <c r="J102" s="961"/>
      <c r="K102" s="964">
        <f t="shared" si="69"/>
        <v>0</v>
      </c>
      <c r="L102" s="940">
        <f>E102+K102</f>
        <v>0</v>
      </c>
      <c r="M102" s="604"/>
      <c r="N102" s="359"/>
      <c r="O102" s="237"/>
      <c r="P102" s="198">
        <f t="shared" si="70"/>
        <v>0</v>
      </c>
      <c r="Q102" s="198"/>
      <c r="R102" s="563"/>
      <c r="S102" s="563">
        <f t="shared" si="71"/>
        <v>0</v>
      </c>
      <c r="T102" s="359"/>
      <c r="U102" s="237"/>
      <c r="V102" s="574">
        <f t="shared" si="72"/>
        <v>0</v>
      </c>
      <c r="W102" s="565">
        <f>P102+V102</f>
        <v>0</v>
      </c>
      <c r="X102" s="601">
        <f t="shared" si="47"/>
        <v>0</v>
      </c>
      <c r="Z102" s="860"/>
      <c r="AA102" s="860"/>
      <c r="AB102" s="860"/>
      <c r="AC102" s="860"/>
      <c r="AD102" s="860"/>
      <c r="AE102" s="860"/>
      <c r="AG102" s="860"/>
      <c r="AH102" s="860"/>
      <c r="AI102" s="860"/>
      <c r="AJ102" s="860"/>
      <c r="AK102" s="860"/>
      <c r="AL102" s="860"/>
    </row>
    <row r="103" spans="1:38" ht="20.100000000000001" customHeight="1">
      <c r="A103" s="1584" t="s">
        <v>752</v>
      </c>
      <c r="B103" s="1585"/>
      <c r="C103" s="944">
        <f>SUM(C97:C101)</f>
        <v>0</v>
      </c>
      <c r="D103" s="944">
        <f t="shared" ref="D103:L103" si="73">SUM(D97:D101)</f>
        <v>0</v>
      </c>
      <c r="E103" s="944">
        <f t="shared" si="73"/>
        <v>0</v>
      </c>
      <c r="F103" s="944">
        <f t="shared" si="73"/>
        <v>0</v>
      </c>
      <c r="G103" s="944">
        <f t="shared" si="73"/>
        <v>0</v>
      </c>
      <c r="H103" s="944">
        <f t="shared" si="73"/>
        <v>0</v>
      </c>
      <c r="I103" s="944">
        <f t="shared" si="73"/>
        <v>0</v>
      </c>
      <c r="J103" s="944">
        <f t="shared" si="73"/>
        <v>0</v>
      </c>
      <c r="K103" s="945">
        <f t="shared" si="73"/>
        <v>0</v>
      </c>
      <c r="L103" s="944">
        <f t="shared" si="73"/>
        <v>0</v>
      </c>
      <c r="M103" s="604"/>
      <c r="N103" s="560">
        <f>SUM(N97:N101)</f>
        <v>0</v>
      </c>
      <c r="O103" s="560">
        <f t="shared" ref="O103:W103" si="74">SUM(O97:O101)</f>
        <v>0</v>
      </c>
      <c r="P103" s="560">
        <f t="shared" si="74"/>
        <v>0</v>
      </c>
      <c r="Q103" s="560">
        <f t="shared" si="74"/>
        <v>0</v>
      </c>
      <c r="R103" s="560">
        <f t="shared" si="74"/>
        <v>0</v>
      </c>
      <c r="S103" s="560">
        <f t="shared" si="74"/>
        <v>0</v>
      </c>
      <c r="T103" s="560">
        <f t="shared" si="74"/>
        <v>0</v>
      </c>
      <c r="U103" s="560">
        <f t="shared" si="74"/>
        <v>0</v>
      </c>
      <c r="V103" s="575">
        <f t="shared" si="74"/>
        <v>0</v>
      </c>
      <c r="W103" s="560">
        <f t="shared" si="74"/>
        <v>0</v>
      </c>
      <c r="X103" s="601">
        <f t="shared" si="47"/>
        <v>0</v>
      </c>
      <c r="AG103" s="857"/>
      <c r="AH103" s="857"/>
      <c r="AI103" s="857"/>
      <c r="AJ103" s="857"/>
      <c r="AK103" s="857"/>
      <c r="AL103" s="857"/>
    </row>
    <row r="104" spans="1:38" ht="15" customHeight="1">
      <c r="A104" s="1586" t="s">
        <v>354</v>
      </c>
      <c r="B104" s="1587"/>
      <c r="C104" s="1587"/>
      <c r="D104" s="1587"/>
      <c r="E104" s="1587"/>
      <c r="F104" s="1587"/>
      <c r="G104" s="1587"/>
      <c r="H104" s="1587"/>
      <c r="I104" s="1587"/>
      <c r="J104" s="1587"/>
      <c r="K104" s="1587"/>
      <c r="L104" s="1588"/>
      <c r="M104" s="604"/>
      <c r="N104" s="609"/>
      <c r="O104" s="609"/>
      <c r="P104" s="609"/>
      <c r="Q104" s="609"/>
      <c r="R104" s="609"/>
      <c r="S104" s="609"/>
      <c r="T104" s="609"/>
      <c r="U104" s="609"/>
      <c r="V104" s="609"/>
      <c r="W104" s="609"/>
      <c r="X104" s="600"/>
      <c r="AG104" s="857"/>
      <c r="AH104" s="857"/>
      <c r="AI104" s="857"/>
      <c r="AJ104" s="857"/>
      <c r="AK104" s="857"/>
      <c r="AL104" s="857"/>
    </row>
    <row r="105" spans="1:38" s="7" customFormat="1" ht="20.100000000000001" customHeight="1">
      <c r="A105" s="951">
        <v>1</v>
      </c>
      <c r="B105" s="855" t="s">
        <v>1314</v>
      </c>
      <c r="C105" s="937">
        <f>SUM('107(b)'!C105*1.1)</f>
        <v>34.072500000000005</v>
      </c>
      <c r="D105" s="937">
        <f>SUM('107(b)'!D105*1.1)</f>
        <v>4.9518699999999995</v>
      </c>
      <c r="E105" s="937">
        <f>SUM('107(b)'!E105*1.1)</f>
        <v>39.024370000000005</v>
      </c>
      <c r="F105" s="937">
        <f>SUM('107(b)'!F105*1.1)</f>
        <v>88.752400000000009</v>
      </c>
      <c r="G105" s="937">
        <f>SUM('107(b)'!G105*1.1)</f>
        <v>14.269200000000001</v>
      </c>
      <c r="H105" s="937">
        <f>SUM('107(b)'!H105*1.1)</f>
        <v>103.02159999999999</v>
      </c>
      <c r="I105" s="937">
        <f>SUM('107(b)'!I105*1.1)</f>
        <v>6.6462000000000003</v>
      </c>
      <c r="J105" s="937">
        <f>SUM('107(b)'!J105*1.1)</f>
        <v>0</v>
      </c>
      <c r="K105" s="937">
        <f>SUM('107(b)'!K105*1.1)</f>
        <v>6.6462000000000003</v>
      </c>
      <c r="L105" s="938">
        <f>E105+K105+H105</f>
        <v>148.69217</v>
      </c>
      <c r="M105" s="604"/>
      <c r="N105" s="271"/>
      <c r="O105" s="271"/>
      <c r="P105" s="606">
        <f t="shared" ref="P105:P110" si="75">N105+O105</f>
        <v>0</v>
      </c>
      <c r="Q105" s="606"/>
      <c r="R105" s="606"/>
      <c r="S105" s="606">
        <f t="shared" ref="S105:S110" si="76">Q105+R105</f>
        <v>0</v>
      </c>
      <c r="T105" s="271"/>
      <c r="U105" s="271"/>
      <c r="V105" s="607">
        <f t="shared" ref="V105:V110" si="77">T105+U105</f>
        <v>0</v>
      </c>
      <c r="W105" s="608">
        <f>P105+V105+S105</f>
        <v>0</v>
      </c>
      <c r="X105" s="601">
        <f t="shared" ref="X105:X111" si="78">W105+L105</f>
        <v>148.69217</v>
      </c>
      <c r="Z105" s="860">
        <f t="shared" ref="Z105" si="79">SUM(AG105*2)</f>
        <v>75000</v>
      </c>
      <c r="AA105" s="860">
        <f t="shared" ref="AA105" si="80">SUM(AH105*2)-500</f>
        <v>10900</v>
      </c>
      <c r="AB105" s="860">
        <f t="shared" ref="AB105" si="81">SUM(AI105*2)-500</f>
        <v>87700</v>
      </c>
      <c r="AC105" s="860">
        <f t="shared" ref="AC105" si="82">SUM(AJ105*2)-500</f>
        <v>14100</v>
      </c>
      <c r="AD105" s="860"/>
      <c r="AE105" s="860"/>
      <c r="AG105" s="860">
        <v>37500</v>
      </c>
      <c r="AH105" s="860">
        <v>5700</v>
      </c>
      <c r="AI105" s="860">
        <v>44100</v>
      </c>
      <c r="AJ105" s="860">
        <v>7300</v>
      </c>
      <c r="AK105" s="860"/>
      <c r="AL105" s="860"/>
    </row>
    <row r="106" spans="1:38" s="7" customFormat="1" ht="20.100000000000001" customHeight="1">
      <c r="A106" s="939">
        <v>2</v>
      </c>
      <c r="B106" s="956"/>
      <c r="C106" s="957"/>
      <c r="D106" s="957"/>
      <c r="E106" s="958">
        <f t="shared" ref="E106:E110" si="83">C106+D106</f>
        <v>0</v>
      </c>
      <c r="F106" s="958"/>
      <c r="G106" s="958"/>
      <c r="H106" s="958">
        <f t="shared" ref="H106:H110" si="84">F106+G106</f>
        <v>0</v>
      </c>
      <c r="I106" s="957"/>
      <c r="J106" s="957"/>
      <c r="K106" s="959">
        <f t="shared" ref="K106:K110" si="85">I106+J106</f>
        <v>0</v>
      </c>
      <c r="L106" s="940">
        <f>E106+K106</f>
        <v>0</v>
      </c>
      <c r="M106" s="604"/>
      <c r="N106" s="238"/>
      <c r="O106" s="238"/>
      <c r="P106" s="239">
        <f t="shared" si="75"/>
        <v>0</v>
      </c>
      <c r="Q106" s="239"/>
      <c r="R106" s="239"/>
      <c r="S106" s="239">
        <f t="shared" si="76"/>
        <v>0</v>
      </c>
      <c r="T106" s="238"/>
      <c r="U106" s="238"/>
      <c r="V106" s="564">
        <f t="shared" si="77"/>
        <v>0</v>
      </c>
      <c r="W106" s="565">
        <f>P106+V106</f>
        <v>0</v>
      </c>
      <c r="X106" s="601">
        <f t="shared" si="78"/>
        <v>0</v>
      </c>
      <c r="Z106" s="860"/>
      <c r="AA106" s="860"/>
      <c r="AB106" s="860"/>
      <c r="AC106" s="860"/>
      <c r="AD106" s="860"/>
      <c r="AE106" s="860"/>
      <c r="AG106" s="860"/>
      <c r="AH106" s="860"/>
      <c r="AI106" s="860"/>
      <c r="AJ106" s="860"/>
      <c r="AK106" s="860"/>
      <c r="AL106" s="860"/>
    </row>
    <row r="107" spans="1:38" s="7" customFormat="1" ht="20.100000000000001" customHeight="1">
      <c r="A107" s="939">
        <v>3</v>
      </c>
      <c r="B107" s="956"/>
      <c r="C107" s="957"/>
      <c r="D107" s="957"/>
      <c r="E107" s="958">
        <f t="shared" si="83"/>
        <v>0</v>
      </c>
      <c r="F107" s="958"/>
      <c r="G107" s="958"/>
      <c r="H107" s="958">
        <f t="shared" si="84"/>
        <v>0</v>
      </c>
      <c r="I107" s="957"/>
      <c r="J107" s="957"/>
      <c r="K107" s="959">
        <f t="shared" si="85"/>
        <v>0</v>
      </c>
      <c r="L107" s="940">
        <f>E107+K107</f>
        <v>0</v>
      </c>
      <c r="M107" s="604"/>
      <c r="N107" s="238"/>
      <c r="O107" s="238"/>
      <c r="P107" s="239">
        <f t="shared" si="75"/>
        <v>0</v>
      </c>
      <c r="Q107" s="239"/>
      <c r="R107" s="239"/>
      <c r="S107" s="239">
        <f t="shared" si="76"/>
        <v>0</v>
      </c>
      <c r="T107" s="238"/>
      <c r="U107" s="238"/>
      <c r="V107" s="564">
        <f t="shared" si="77"/>
        <v>0</v>
      </c>
      <c r="W107" s="565">
        <f>P107+V107</f>
        <v>0</v>
      </c>
      <c r="X107" s="601">
        <f t="shared" si="78"/>
        <v>0</v>
      </c>
      <c r="Z107" s="860"/>
      <c r="AA107" s="860"/>
      <c r="AB107" s="860"/>
      <c r="AC107" s="860"/>
      <c r="AD107" s="860"/>
      <c r="AE107" s="860"/>
      <c r="AG107" s="860"/>
      <c r="AH107" s="860"/>
      <c r="AI107" s="860"/>
      <c r="AJ107" s="860"/>
      <c r="AK107" s="860"/>
      <c r="AL107" s="860"/>
    </row>
    <row r="108" spans="1:38" s="7" customFormat="1" ht="20.100000000000001" customHeight="1">
      <c r="A108" s="939">
        <v>4</v>
      </c>
      <c r="B108" s="956"/>
      <c r="C108" s="957"/>
      <c r="D108" s="957"/>
      <c r="E108" s="958">
        <f t="shared" si="83"/>
        <v>0</v>
      </c>
      <c r="F108" s="958"/>
      <c r="G108" s="958"/>
      <c r="H108" s="958">
        <f t="shared" si="84"/>
        <v>0</v>
      </c>
      <c r="I108" s="957"/>
      <c r="J108" s="957"/>
      <c r="K108" s="959">
        <f t="shared" si="85"/>
        <v>0</v>
      </c>
      <c r="L108" s="940">
        <f>E108+K108</f>
        <v>0</v>
      </c>
      <c r="M108" s="604"/>
      <c r="N108" s="238"/>
      <c r="O108" s="238"/>
      <c r="P108" s="239">
        <f t="shared" si="75"/>
        <v>0</v>
      </c>
      <c r="Q108" s="239"/>
      <c r="R108" s="239"/>
      <c r="S108" s="239">
        <f t="shared" si="76"/>
        <v>0</v>
      </c>
      <c r="T108" s="238"/>
      <c r="U108" s="238"/>
      <c r="V108" s="564">
        <f t="shared" si="77"/>
        <v>0</v>
      </c>
      <c r="W108" s="565">
        <f>P108+V108</f>
        <v>0</v>
      </c>
      <c r="X108" s="601">
        <f t="shared" si="78"/>
        <v>0</v>
      </c>
      <c r="Z108" s="860"/>
      <c r="AA108" s="860"/>
      <c r="AB108" s="860"/>
      <c r="AC108" s="860"/>
      <c r="AD108" s="860"/>
      <c r="AE108" s="860"/>
      <c r="AG108" s="860"/>
      <c r="AH108" s="860"/>
      <c r="AI108" s="860"/>
      <c r="AJ108" s="860"/>
      <c r="AK108" s="860"/>
      <c r="AL108" s="860"/>
    </row>
    <row r="109" spans="1:38" s="7" customFormat="1" ht="20.100000000000001" customHeight="1">
      <c r="A109" s="939">
        <v>5</v>
      </c>
      <c r="B109" s="956"/>
      <c r="C109" s="957"/>
      <c r="D109" s="957"/>
      <c r="E109" s="958">
        <f t="shared" si="83"/>
        <v>0</v>
      </c>
      <c r="F109" s="958"/>
      <c r="G109" s="958"/>
      <c r="H109" s="958">
        <f t="shared" si="84"/>
        <v>0</v>
      </c>
      <c r="I109" s="957"/>
      <c r="J109" s="957"/>
      <c r="K109" s="959">
        <f t="shared" si="85"/>
        <v>0</v>
      </c>
      <c r="L109" s="940">
        <f>E109+K109</f>
        <v>0</v>
      </c>
      <c r="M109" s="604"/>
      <c r="N109" s="238"/>
      <c r="O109" s="238"/>
      <c r="P109" s="239">
        <f t="shared" si="75"/>
        <v>0</v>
      </c>
      <c r="Q109" s="239"/>
      <c r="R109" s="239"/>
      <c r="S109" s="239">
        <f t="shared" si="76"/>
        <v>0</v>
      </c>
      <c r="T109" s="238"/>
      <c r="U109" s="238"/>
      <c r="V109" s="564">
        <f t="shared" si="77"/>
        <v>0</v>
      </c>
      <c r="W109" s="565">
        <f>P109+V109</f>
        <v>0</v>
      </c>
      <c r="X109" s="601">
        <f t="shared" si="78"/>
        <v>0</v>
      </c>
      <c r="Z109" s="860"/>
      <c r="AA109" s="860"/>
      <c r="AB109" s="860"/>
      <c r="AC109" s="860"/>
      <c r="AD109" s="860"/>
      <c r="AE109" s="860"/>
      <c r="AG109" s="860"/>
      <c r="AH109" s="860"/>
      <c r="AI109" s="860"/>
      <c r="AJ109" s="860"/>
      <c r="AK109" s="860"/>
      <c r="AL109" s="860"/>
    </row>
    <row r="110" spans="1:38" s="7" customFormat="1" ht="20.100000000000001" customHeight="1">
      <c r="A110" s="941">
        <v>6</v>
      </c>
      <c r="B110" s="942"/>
      <c r="C110" s="960"/>
      <c r="D110" s="961"/>
      <c r="E110" s="962">
        <f t="shared" si="83"/>
        <v>0</v>
      </c>
      <c r="F110" s="962"/>
      <c r="G110" s="963"/>
      <c r="H110" s="963">
        <f t="shared" si="84"/>
        <v>0</v>
      </c>
      <c r="I110" s="960"/>
      <c r="J110" s="961"/>
      <c r="K110" s="964">
        <f t="shared" si="85"/>
        <v>0</v>
      </c>
      <c r="L110" s="940">
        <f>E110+K110</f>
        <v>0</v>
      </c>
      <c r="M110" s="604"/>
      <c r="N110" s="359"/>
      <c r="O110" s="237"/>
      <c r="P110" s="198">
        <f t="shared" si="75"/>
        <v>0</v>
      </c>
      <c r="Q110" s="198"/>
      <c r="R110" s="563"/>
      <c r="S110" s="563">
        <f t="shared" si="76"/>
        <v>0</v>
      </c>
      <c r="T110" s="359"/>
      <c r="U110" s="237"/>
      <c r="V110" s="574">
        <f t="shared" si="77"/>
        <v>0</v>
      </c>
      <c r="W110" s="565">
        <f>P110+V110</f>
        <v>0</v>
      </c>
      <c r="X110" s="601">
        <f t="shared" si="78"/>
        <v>0</v>
      </c>
      <c r="Z110" s="860"/>
      <c r="AA110" s="860"/>
      <c r="AB110" s="860"/>
      <c r="AC110" s="860"/>
      <c r="AD110" s="860"/>
      <c r="AE110" s="860"/>
      <c r="AG110" s="860"/>
      <c r="AH110" s="860"/>
      <c r="AI110" s="860"/>
      <c r="AJ110" s="860"/>
      <c r="AK110" s="860"/>
      <c r="AL110" s="860"/>
    </row>
    <row r="111" spans="1:38" ht="20.100000000000001" customHeight="1">
      <c r="A111" s="1584" t="s">
        <v>752</v>
      </c>
      <c r="B111" s="1585"/>
      <c r="C111" s="944">
        <f>SUM(C105:C109)</f>
        <v>34.072500000000005</v>
      </c>
      <c r="D111" s="944">
        <f t="shared" ref="D111:L111" si="86">SUM(D105:D109)</f>
        <v>4.9518699999999995</v>
      </c>
      <c r="E111" s="944">
        <f t="shared" si="86"/>
        <v>39.024370000000005</v>
      </c>
      <c r="F111" s="944">
        <f t="shared" si="86"/>
        <v>88.752400000000009</v>
      </c>
      <c r="G111" s="944">
        <f t="shared" si="86"/>
        <v>14.269200000000001</v>
      </c>
      <c r="H111" s="944">
        <f t="shared" si="86"/>
        <v>103.02159999999999</v>
      </c>
      <c r="I111" s="944">
        <f t="shared" si="86"/>
        <v>6.6462000000000003</v>
      </c>
      <c r="J111" s="944">
        <f t="shared" si="86"/>
        <v>0</v>
      </c>
      <c r="K111" s="945">
        <f t="shared" si="86"/>
        <v>6.6462000000000003</v>
      </c>
      <c r="L111" s="944">
        <f t="shared" si="86"/>
        <v>148.69217</v>
      </c>
      <c r="M111" s="604"/>
      <c r="N111" s="560">
        <f>SUM(N105:N109)</f>
        <v>0</v>
      </c>
      <c r="O111" s="560">
        <f t="shared" ref="O111:W111" si="87">SUM(O105:O109)</f>
        <v>0</v>
      </c>
      <c r="P111" s="560">
        <f t="shared" si="87"/>
        <v>0</v>
      </c>
      <c r="Q111" s="560">
        <f t="shared" si="87"/>
        <v>0</v>
      </c>
      <c r="R111" s="560">
        <f t="shared" si="87"/>
        <v>0</v>
      </c>
      <c r="S111" s="560">
        <f t="shared" si="87"/>
        <v>0</v>
      </c>
      <c r="T111" s="560">
        <f t="shared" si="87"/>
        <v>0</v>
      </c>
      <c r="U111" s="560">
        <f t="shared" si="87"/>
        <v>0</v>
      </c>
      <c r="V111" s="575">
        <f t="shared" si="87"/>
        <v>0</v>
      </c>
      <c r="W111" s="560">
        <f t="shared" si="87"/>
        <v>0</v>
      </c>
      <c r="X111" s="601">
        <f t="shared" si="78"/>
        <v>148.69217</v>
      </c>
      <c r="AG111" s="857"/>
      <c r="AH111" s="857"/>
      <c r="AI111" s="857"/>
      <c r="AJ111" s="857"/>
      <c r="AK111" s="857"/>
      <c r="AL111" s="857"/>
    </row>
    <row r="112" spans="1:38" ht="15" customHeight="1">
      <c r="A112" s="1586" t="s">
        <v>996</v>
      </c>
      <c r="B112" s="1587"/>
      <c r="C112" s="1587"/>
      <c r="D112" s="1587"/>
      <c r="E112" s="1587"/>
      <c r="F112" s="1587"/>
      <c r="G112" s="1587"/>
      <c r="H112" s="1587"/>
      <c r="I112" s="1587"/>
      <c r="J112" s="1587"/>
      <c r="K112" s="1587"/>
      <c r="L112" s="1588"/>
      <c r="M112" s="604"/>
      <c r="N112" s="609"/>
      <c r="O112" s="609"/>
      <c r="P112" s="609"/>
      <c r="Q112" s="609"/>
      <c r="R112" s="609"/>
      <c r="S112" s="609"/>
      <c r="T112" s="609"/>
      <c r="U112" s="609"/>
      <c r="V112" s="609"/>
      <c r="W112" s="609"/>
      <c r="X112" s="600"/>
      <c r="AG112" s="857"/>
      <c r="AH112" s="857"/>
      <c r="AI112" s="857"/>
      <c r="AJ112" s="857"/>
      <c r="AK112" s="857"/>
      <c r="AL112" s="857"/>
    </row>
    <row r="113" spans="1:38" s="7" customFormat="1" ht="20.100000000000001" customHeight="1">
      <c r="A113" s="951">
        <v>1</v>
      </c>
      <c r="B113" s="935" t="s">
        <v>1310</v>
      </c>
      <c r="C113" s="937">
        <f>SUM('107(b)'!C113*1.1)</f>
        <v>2.8006000000000002</v>
      </c>
      <c r="D113" s="937">
        <f>SUM('107(b)'!D113*1.1)</f>
        <v>0.58938000000000013</v>
      </c>
      <c r="E113" s="937">
        <f>SUM('107(b)'!E113*1.1)</f>
        <v>3.38998</v>
      </c>
      <c r="F113" s="937">
        <f>SUM('107(b)'!F113*1.1)</f>
        <v>0</v>
      </c>
      <c r="G113" s="937">
        <f>SUM('107(b)'!G113*1.1)</f>
        <v>0</v>
      </c>
      <c r="H113" s="937">
        <f>SUM('107(b)'!H113*1.1)</f>
        <v>0</v>
      </c>
      <c r="I113" s="937">
        <f>SUM('107(b)'!I113*1.1)</f>
        <v>0</v>
      </c>
      <c r="J113" s="937">
        <f>SUM('107(b)'!J113*1.1)</f>
        <v>0</v>
      </c>
      <c r="K113" s="937">
        <f>SUM('107(b)'!K113*1.1)</f>
        <v>0</v>
      </c>
      <c r="L113" s="938">
        <f>E113+K113+H113</f>
        <v>3.38998</v>
      </c>
      <c r="M113" s="604"/>
      <c r="N113" s="862">
        <f>+('107 (a)'!U113*'107 (a)'!AB113)/1000000</f>
        <v>1.8180000000000001</v>
      </c>
      <c r="O113" s="271"/>
      <c r="P113" s="606">
        <f t="shared" ref="P113:P118" si="88">N113+O113</f>
        <v>1.8180000000000001</v>
      </c>
      <c r="Q113" s="606"/>
      <c r="R113" s="606"/>
      <c r="S113" s="606">
        <f t="shared" ref="S113:S118" si="89">Q113+R113</f>
        <v>0</v>
      </c>
      <c r="T113" s="271"/>
      <c r="U113" s="271"/>
      <c r="V113" s="607">
        <f t="shared" ref="V113:V118" si="90">T113+U113</f>
        <v>0</v>
      </c>
      <c r="W113" s="608">
        <f>P113+V113+S113</f>
        <v>1.8180000000000001</v>
      </c>
      <c r="X113" s="601">
        <f t="shared" ref="X113:X120" si="91">W113+L113</f>
        <v>5.2079800000000001</v>
      </c>
      <c r="Z113" s="860">
        <f t="shared" ref="Z113" si="92">SUM(AG113*2)</f>
        <v>67000</v>
      </c>
      <c r="AA113" s="860">
        <f t="shared" ref="AA113" si="93">SUM(AH113*2)-500</f>
        <v>14100</v>
      </c>
      <c r="AB113" s="860">
        <f t="shared" ref="AB113" si="94">SUM(AI113*2)-500</f>
        <v>85100</v>
      </c>
      <c r="AC113" s="860">
        <f t="shared" ref="AC113" si="95">SUM(AJ113*2)-500</f>
        <v>14100</v>
      </c>
      <c r="AD113" s="860"/>
      <c r="AE113" s="860"/>
      <c r="AG113" s="860">
        <v>33500</v>
      </c>
      <c r="AH113" s="860">
        <v>7300</v>
      </c>
      <c r="AI113" s="860">
        <v>42800</v>
      </c>
      <c r="AJ113" s="860">
        <v>7300</v>
      </c>
      <c r="AK113" s="860"/>
      <c r="AL113" s="860"/>
    </row>
    <row r="114" spans="1:38" s="7" customFormat="1" ht="20.100000000000001" customHeight="1">
      <c r="A114" s="939">
        <v>2</v>
      </c>
      <c r="B114" s="956"/>
      <c r="C114" s="957"/>
      <c r="D114" s="957"/>
      <c r="E114" s="958">
        <f t="shared" ref="E114:E118" si="96">C114+D114</f>
        <v>0</v>
      </c>
      <c r="F114" s="958"/>
      <c r="G114" s="958"/>
      <c r="H114" s="958">
        <f t="shared" ref="H114:H118" si="97">F114+G114</f>
        <v>0</v>
      </c>
      <c r="I114" s="957"/>
      <c r="J114" s="957"/>
      <c r="K114" s="959">
        <f t="shared" ref="K114:K118" si="98">I114+J114</f>
        <v>0</v>
      </c>
      <c r="L114" s="940">
        <f>E114+K114</f>
        <v>0</v>
      </c>
      <c r="M114" s="604"/>
      <c r="N114" s="238"/>
      <c r="O114" s="238"/>
      <c r="P114" s="239">
        <f t="shared" si="88"/>
        <v>0</v>
      </c>
      <c r="Q114" s="239"/>
      <c r="R114" s="239"/>
      <c r="S114" s="239">
        <f t="shared" si="89"/>
        <v>0</v>
      </c>
      <c r="T114" s="238"/>
      <c r="U114" s="238"/>
      <c r="V114" s="564">
        <f t="shared" si="90"/>
        <v>0</v>
      </c>
      <c r="W114" s="565">
        <f>P114+V114</f>
        <v>0</v>
      </c>
      <c r="X114" s="601">
        <f t="shared" si="91"/>
        <v>0</v>
      </c>
      <c r="Z114" s="860"/>
      <c r="AA114" s="860"/>
      <c r="AB114" s="860"/>
      <c r="AC114" s="860"/>
      <c r="AD114" s="860"/>
      <c r="AE114" s="860"/>
      <c r="AG114" s="860"/>
      <c r="AH114" s="860"/>
      <c r="AI114" s="860"/>
      <c r="AJ114" s="860"/>
      <c r="AK114" s="860"/>
      <c r="AL114" s="860"/>
    </row>
    <row r="115" spans="1:38" s="7" customFormat="1" ht="20.100000000000001" customHeight="1">
      <c r="A115" s="939">
        <v>3</v>
      </c>
      <c r="B115" s="956"/>
      <c r="C115" s="957"/>
      <c r="D115" s="957"/>
      <c r="E115" s="958">
        <f t="shared" si="96"/>
        <v>0</v>
      </c>
      <c r="F115" s="958"/>
      <c r="G115" s="958"/>
      <c r="H115" s="958">
        <f t="shared" si="97"/>
        <v>0</v>
      </c>
      <c r="I115" s="957"/>
      <c r="J115" s="957"/>
      <c r="K115" s="959">
        <f t="shared" si="98"/>
        <v>0</v>
      </c>
      <c r="L115" s="940">
        <f>E115+K115</f>
        <v>0</v>
      </c>
      <c r="M115" s="604"/>
      <c r="N115" s="238"/>
      <c r="O115" s="238"/>
      <c r="P115" s="239">
        <f t="shared" si="88"/>
        <v>0</v>
      </c>
      <c r="Q115" s="239"/>
      <c r="R115" s="239"/>
      <c r="S115" s="239">
        <f t="shared" si="89"/>
        <v>0</v>
      </c>
      <c r="T115" s="238"/>
      <c r="U115" s="238"/>
      <c r="V115" s="564">
        <f t="shared" si="90"/>
        <v>0</v>
      </c>
      <c r="W115" s="565">
        <f>P115+V115</f>
        <v>0</v>
      </c>
      <c r="X115" s="601">
        <f t="shared" si="91"/>
        <v>0</v>
      </c>
      <c r="Z115" s="860"/>
      <c r="AA115" s="860"/>
      <c r="AB115" s="860"/>
      <c r="AC115" s="860"/>
      <c r="AD115" s="860"/>
      <c r="AE115" s="860"/>
      <c r="AG115" s="860"/>
      <c r="AH115" s="860"/>
      <c r="AI115" s="860"/>
      <c r="AJ115" s="860"/>
      <c r="AK115" s="860"/>
      <c r="AL115" s="860"/>
    </row>
    <row r="116" spans="1:38" s="7" customFormat="1" ht="20.100000000000001" hidden="1" customHeight="1">
      <c r="A116" s="939">
        <v>4</v>
      </c>
      <c r="B116" s="956"/>
      <c r="C116" s="957"/>
      <c r="D116" s="957"/>
      <c r="E116" s="958">
        <f t="shared" si="96"/>
        <v>0</v>
      </c>
      <c r="F116" s="958"/>
      <c r="G116" s="958"/>
      <c r="H116" s="958">
        <f t="shared" si="97"/>
        <v>0</v>
      </c>
      <c r="I116" s="957"/>
      <c r="J116" s="957"/>
      <c r="K116" s="959">
        <f t="shared" si="98"/>
        <v>0</v>
      </c>
      <c r="L116" s="940">
        <f>E116+K116</f>
        <v>0</v>
      </c>
      <c r="M116" s="604"/>
      <c r="N116" s="238"/>
      <c r="O116" s="238"/>
      <c r="P116" s="239">
        <f t="shared" si="88"/>
        <v>0</v>
      </c>
      <c r="Q116" s="239"/>
      <c r="R116" s="239"/>
      <c r="S116" s="239">
        <f t="shared" si="89"/>
        <v>0</v>
      </c>
      <c r="T116" s="238"/>
      <c r="U116" s="238"/>
      <c r="V116" s="564">
        <f t="shared" si="90"/>
        <v>0</v>
      </c>
      <c r="W116" s="565">
        <f>P116+V116</f>
        <v>0</v>
      </c>
      <c r="X116" s="601">
        <f t="shared" si="91"/>
        <v>0</v>
      </c>
      <c r="Z116" s="860"/>
      <c r="AA116" s="860"/>
      <c r="AB116" s="860"/>
      <c r="AC116" s="860"/>
      <c r="AD116" s="860"/>
      <c r="AE116" s="860"/>
      <c r="AG116" s="860"/>
      <c r="AH116" s="860"/>
      <c r="AI116" s="860"/>
      <c r="AJ116" s="860"/>
      <c r="AK116" s="860"/>
      <c r="AL116" s="860"/>
    </row>
    <row r="117" spans="1:38" s="7" customFormat="1" ht="20.100000000000001" hidden="1" customHeight="1">
      <c r="A117" s="939">
        <v>5</v>
      </c>
      <c r="B117" s="956"/>
      <c r="C117" s="957"/>
      <c r="D117" s="957"/>
      <c r="E117" s="958">
        <f t="shared" si="96"/>
        <v>0</v>
      </c>
      <c r="F117" s="958"/>
      <c r="G117" s="958"/>
      <c r="H117" s="958">
        <f t="shared" si="97"/>
        <v>0</v>
      </c>
      <c r="I117" s="957"/>
      <c r="J117" s="957"/>
      <c r="K117" s="959">
        <f t="shared" si="98"/>
        <v>0</v>
      </c>
      <c r="L117" s="940">
        <f>E117+K117</f>
        <v>0</v>
      </c>
      <c r="M117" s="604"/>
      <c r="N117" s="238"/>
      <c r="O117" s="238"/>
      <c r="P117" s="239">
        <f t="shared" si="88"/>
        <v>0</v>
      </c>
      <c r="Q117" s="239"/>
      <c r="R117" s="239"/>
      <c r="S117" s="239">
        <f t="shared" si="89"/>
        <v>0</v>
      </c>
      <c r="T117" s="238"/>
      <c r="U117" s="238"/>
      <c r="V117" s="564">
        <f t="shared" si="90"/>
        <v>0</v>
      </c>
      <c r="W117" s="565">
        <f>P117+V117</f>
        <v>0</v>
      </c>
      <c r="X117" s="601">
        <f t="shared" si="91"/>
        <v>0</v>
      </c>
      <c r="Z117" s="860"/>
      <c r="AA117" s="860"/>
      <c r="AB117" s="860"/>
      <c r="AC117" s="860"/>
      <c r="AD117" s="860"/>
      <c r="AE117" s="860"/>
      <c r="AG117" s="860"/>
      <c r="AH117" s="860"/>
      <c r="AI117" s="860"/>
      <c r="AJ117" s="860"/>
      <c r="AK117" s="860"/>
      <c r="AL117" s="860"/>
    </row>
    <row r="118" spans="1:38" s="7" customFormat="1" ht="20.100000000000001" hidden="1" customHeight="1">
      <c r="A118" s="941">
        <v>6</v>
      </c>
      <c r="B118" s="942"/>
      <c r="C118" s="960"/>
      <c r="D118" s="961"/>
      <c r="E118" s="962">
        <f t="shared" si="96"/>
        <v>0</v>
      </c>
      <c r="F118" s="962"/>
      <c r="G118" s="963"/>
      <c r="H118" s="963">
        <f t="shared" si="97"/>
        <v>0</v>
      </c>
      <c r="I118" s="960"/>
      <c r="J118" s="961"/>
      <c r="K118" s="964">
        <f t="shared" si="98"/>
        <v>0</v>
      </c>
      <c r="L118" s="940">
        <f>E118+K118</f>
        <v>0</v>
      </c>
      <c r="M118" s="604"/>
      <c r="N118" s="359"/>
      <c r="O118" s="237"/>
      <c r="P118" s="198">
        <f t="shared" si="88"/>
        <v>0</v>
      </c>
      <c r="Q118" s="198"/>
      <c r="R118" s="563"/>
      <c r="S118" s="563">
        <f t="shared" si="89"/>
        <v>0</v>
      </c>
      <c r="T118" s="359"/>
      <c r="U118" s="237"/>
      <c r="V118" s="574">
        <f t="shared" si="90"/>
        <v>0</v>
      </c>
      <c r="W118" s="565">
        <f>P118+V118</f>
        <v>0</v>
      </c>
      <c r="X118" s="601">
        <f t="shared" si="91"/>
        <v>0</v>
      </c>
      <c r="Z118" s="860"/>
      <c r="AA118" s="860"/>
      <c r="AB118" s="860"/>
      <c r="AC118" s="860"/>
      <c r="AD118" s="860"/>
      <c r="AE118" s="860"/>
      <c r="AG118" s="860"/>
      <c r="AH118" s="860"/>
      <c r="AI118" s="860"/>
      <c r="AJ118" s="860"/>
      <c r="AK118" s="860"/>
      <c r="AL118" s="860"/>
    </row>
    <row r="119" spans="1:38" ht="20.100000000000001" customHeight="1">
      <c r="A119" s="1521" t="s">
        <v>752</v>
      </c>
      <c r="B119" s="1522"/>
      <c r="C119" s="560">
        <f>SUM(C113:C117)</f>
        <v>2.8006000000000002</v>
      </c>
      <c r="D119" s="560">
        <f t="shared" ref="D119:L119" si="99">SUM(D113:D117)</f>
        <v>0.58938000000000013</v>
      </c>
      <c r="E119" s="560">
        <f t="shared" si="99"/>
        <v>3.38998</v>
      </c>
      <c r="F119" s="560">
        <f t="shared" si="99"/>
        <v>0</v>
      </c>
      <c r="G119" s="560">
        <f t="shared" si="99"/>
        <v>0</v>
      </c>
      <c r="H119" s="560">
        <f t="shared" si="99"/>
        <v>0</v>
      </c>
      <c r="I119" s="560">
        <f t="shared" si="99"/>
        <v>0</v>
      </c>
      <c r="J119" s="560">
        <f t="shared" si="99"/>
        <v>0</v>
      </c>
      <c r="K119" s="575">
        <f t="shared" si="99"/>
        <v>0</v>
      </c>
      <c r="L119" s="560">
        <f t="shared" si="99"/>
        <v>3.38998</v>
      </c>
      <c r="M119" s="604"/>
      <c r="N119" s="865">
        <f>SUM(N113:N117)</f>
        <v>1.8180000000000001</v>
      </c>
      <c r="O119" s="560">
        <f t="shared" ref="O119:W119" si="100">SUM(O113:O117)</f>
        <v>0</v>
      </c>
      <c r="P119" s="560">
        <f t="shared" si="100"/>
        <v>1.8180000000000001</v>
      </c>
      <c r="Q119" s="560">
        <f t="shared" si="100"/>
        <v>0</v>
      </c>
      <c r="R119" s="560">
        <f t="shared" si="100"/>
        <v>0</v>
      </c>
      <c r="S119" s="560">
        <f t="shared" si="100"/>
        <v>0</v>
      </c>
      <c r="T119" s="560">
        <f t="shared" si="100"/>
        <v>0</v>
      </c>
      <c r="U119" s="560">
        <f t="shared" si="100"/>
        <v>0</v>
      </c>
      <c r="V119" s="575">
        <f t="shared" si="100"/>
        <v>0</v>
      </c>
      <c r="W119" s="560">
        <f t="shared" si="100"/>
        <v>1.8180000000000001</v>
      </c>
      <c r="X119" s="601">
        <f t="shared" si="91"/>
        <v>5.2079800000000001</v>
      </c>
      <c r="AG119" s="857"/>
      <c r="AH119" s="857"/>
      <c r="AI119" s="857"/>
      <c r="AJ119" s="857"/>
      <c r="AK119" s="857"/>
      <c r="AL119" s="857"/>
    </row>
    <row r="120" spans="1:38" ht="34.5" customHeight="1">
      <c r="A120" s="1537" t="s">
        <v>1024</v>
      </c>
      <c r="B120" s="1538"/>
      <c r="C120" s="882">
        <f t="shared" ref="C120:L120" si="101">C21+C36+C44+C56+C71+C79+C87+C95+C103+C119+C111</f>
        <v>480.09632000000005</v>
      </c>
      <c r="D120" s="882">
        <f t="shared" si="101"/>
        <v>82.32762000000001</v>
      </c>
      <c r="E120" s="882">
        <f t="shared" si="101"/>
        <v>535.09004000000004</v>
      </c>
      <c r="F120" s="882">
        <f t="shared" si="101"/>
        <v>312.06050000000005</v>
      </c>
      <c r="G120" s="882">
        <f t="shared" si="101"/>
        <v>52.791560000000004</v>
      </c>
      <c r="H120" s="882">
        <f t="shared" si="101"/>
        <v>334.52506</v>
      </c>
      <c r="I120" s="882">
        <f t="shared" si="101"/>
        <v>174.6138</v>
      </c>
      <c r="J120" s="882">
        <f t="shared" si="101"/>
        <v>81.365600000000001</v>
      </c>
      <c r="K120" s="882">
        <f t="shared" si="101"/>
        <v>245.23471000000004</v>
      </c>
      <c r="L120" s="882">
        <f t="shared" si="101"/>
        <v>1103.2742900000001</v>
      </c>
      <c r="M120" s="605"/>
      <c r="N120" s="882">
        <f t="shared" ref="N120:W120" si="102">N21+N36+N44+N56+N71+N79+N87+N95+N103+N119+N111</f>
        <v>340.08870999999999</v>
      </c>
      <c r="O120" s="602">
        <f t="shared" si="102"/>
        <v>0</v>
      </c>
      <c r="P120" s="602">
        <f t="shared" si="102"/>
        <v>314.47212999999999</v>
      </c>
      <c r="Q120" s="602">
        <f t="shared" si="102"/>
        <v>41.503050000000002</v>
      </c>
      <c r="R120" s="602">
        <f t="shared" si="102"/>
        <v>0</v>
      </c>
      <c r="S120" s="602">
        <f t="shared" si="102"/>
        <v>41.503050000000002</v>
      </c>
      <c r="T120" s="602">
        <f t="shared" si="102"/>
        <v>0</v>
      </c>
      <c r="U120" s="602">
        <f t="shared" si="102"/>
        <v>0</v>
      </c>
      <c r="V120" s="602">
        <f t="shared" si="102"/>
        <v>0</v>
      </c>
      <c r="W120" s="602">
        <f t="shared" si="102"/>
        <v>355.97517999999997</v>
      </c>
      <c r="X120" s="889">
        <f t="shared" si="91"/>
        <v>1459.24947</v>
      </c>
      <c r="Z120" s="861"/>
      <c r="AA120" s="861"/>
      <c r="AB120" s="861"/>
      <c r="AC120" s="861"/>
      <c r="AD120" s="861"/>
      <c r="AE120" s="861"/>
      <c r="AF120" s="602"/>
      <c r="AG120" s="602"/>
    </row>
    <row r="127" spans="1:38" ht="18">
      <c r="T127" s="656" t="s">
        <v>1029</v>
      </c>
      <c r="U127" s="657"/>
      <c r="V127" s="657"/>
      <c r="W127" s="657"/>
      <c r="X127" s="658"/>
      <c r="Y127" s="599"/>
    </row>
  </sheetData>
  <mergeCells count="45">
    <mergeCell ref="N8:P8"/>
    <mergeCell ref="Q8:S8"/>
    <mergeCell ref="T8:V8"/>
    <mergeCell ref="W1:X1"/>
    <mergeCell ref="A2:X2"/>
    <mergeCell ref="A6:B9"/>
    <mergeCell ref="C6:L6"/>
    <mergeCell ref="N6:W6"/>
    <mergeCell ref="X6:X9"/>
    <mergeCell ref="C7:L7"/>
    <mergeCell ref="N7:W7"/>
    <mergeCell ref="C8:E8"/>
    <mergeCell ref="A72:L72"/>
    <mergeCell ref="AK9:AL9"/>
    <mergeCell ref="A10:L10"/>
    <mergeCell ref="A21:B21"/>
    <mergeCell ref="A22:L22"/>
    <mergeCell ref="A36:B36"/>
    <mergeCell ref="A37:L37"/>
    <mergeCell ref="W8:W9"/>
    <mergeCell ref="Z9:AA9"/>
    <mergeCell ref="AB9:AC9"/>
    <mergeCell ref="AD9:AE9"/>
    <mergeCell ref="AG9:AH9"/>
    <mergeCell ref="AI9:AJ9"/>
    <mergeCell ref="F8:H8"/>
    <mergeCell ref="I8:K8"/>
    <mergeCell ref="L8:L9"/>
    <mergeCell ref="A44:B44"/>
    <mergeCell ref="A45:L45"/>
    <mergeCell ref="A56:B56"/>
    <mergeCell ref="A57:L57"/>
    <mergeCell ref="A71:B71"/>
    <mergeCell ref="A120:B120"/>
    <mergeCell ref="A79:B79"/>
    <mergeCell ref="A80:L80"/>
    <mergeCell ref="A87:B87"/>
    <mergeCell ref="A88:L88"/>
    <mergeCell ref="A95:B95"/>
    <mergeCell ref="A96:L96"/>
    <mergeCell ref="A103:B103"/>
    <mergeCell ref="A104:L104"/>
    <mergeCell ref="A111:B111"/>
    <mergeCell ref="A112:L112"/>
    <mergeCell ref="A119:B119"/>
  </mergeCells>
  <printOptions horizontalCentered="1"/>
  <pageMargins left="0.25" right="0.25" top="0.25" bottom="0.25" header="0.25" footer="0.25"/>
  <pageSetup paperSize="9" scale="66" fitToWidth="0" fitToHeight="0" orientation="landscape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A1:AD87"/>
  <sheetViews>
    <sheetView view="pageBreakPreview" topLeftCell="A4" zoomScaleSheetLayoutView="100" workbookViewId="0">
      <selection activeCell="L10" sqref="L10"/>
    </sheetView>
  </sheetViews>
  <sheetFormatPr defaultRowHeight="14.25"/>
  <cols>
    <col min="1" max="1" width="3.7109375" style="164" customWidth="1"/>
    <col min="2" max="2" width="24.42578125" style="164" bestFit="1" customWidth="1"/>
    <col min="3" max="6" width="7.28515625" style="164" customWidth="1"/>
    <col min="7" max="10" width="8.7109375" style="164" customWidth="1"/>
    <col min="11" max="11" width="9.140625" style="170"/>
    <col min="12" max="12" width="12" style="170" customWidth="1"/>
    <col min="13" max="13" width="9.85546875" style="170" customWidth="1"/>
    <col min="14" max="14" width="10.140625" style="170" bestFit="1" customWidth="1"/>
    <col min="15" max="24" width="9.140625" style="170"/>
    <col min="25" max="16384" width="9.140625" style="164"/>
  </cols>
  <sheetData>
    <row r="1" spans="1:30" ht="18.75" customHeight="1">
      <c r="A1" s="165"/>
      <c r="B1" s="165"/>
      <c r="C1" s="165"/>
      <c r="D1" s="165"/>
      <c r="E1" s="165"/>
      <c r="F1" s="165"/>
      <c r="G1" s="165"/>
      <c r="H1" s="165"/>
      <c r="I1" s="1605" t="s">
        <v>774</v>
      </c>
      <c r="J1" s="1606"/>
    </row>
    <row r="2" spans="1:30" ht="38.25" customHeight="1">
      <c r="A2" s="1608" t="s">
        <v>823</v>
      </c>
      <c r="B2" s="1608"/>
      <c r="C2" s="1608"/>
      <c r="D2" s="1608"/>
      <c r="E2" s="1608"/>
      <c r="F2" s="1608"/>
      <c r="G2" s="1608"/>
      <c r="H2" s="1608"/>
      <c r="I2" s="1608"/>
      <c r="J2" s="1608"/>
      <c r="L2"/>
      <c r="M2"/>
      <c r="N2"/>
      <c r="O2"/>
    </row>
    <row r="3" spans="1:30" ht="15">
      <c r="A3" s="165"/>
      <c r="B3" s="165"/>
      <c r="C3" s="165"/>
      <c r="D3" s="165"/>
      <c r="E3" s="165"/>
      <c r="F3" s="165"/>
      <c r="G3" s="165"/>
      <c r="H3" s="165"/>
      <c r="I3" s="165"/>
      <c r="J3" s="165"/>
      <c r="L3"/>
      <c r="M3"/>
      <c r="N3"/>
      <c r="O3"/>
    </row>
    <row r="4" spans="1:30" ht="17.25" customHeight="1">
      <c r="A4" s="925" t="s">
        <v>1517</v>
      </c>
      <c r="B4" s="925"/>
      <c r="C4" s="925"/>
      <c r="D4" s="276"/>
      <c r="E4" s="276"/>
      <c r="F4" s="276"/>
      <c r="G4" s="275"/>
      <c r="H4" s="275"/>
      <c r="I4" s="275"/>
      <c r="J4" s="275"/>
      <c r="K4" s="327"/>
      <c r="L4"/>
      <c r="M4"/>
      <c r="N4"/>
      <c r="O4"/>
      <c r="P4" s="327"/>
      <c r="Q4" s="327"/>
    </row>
    <row r="5" spans="1:30" ht="15">
      <c r="A5" s="165"/>
      <c r="B5" s="165"/>
      <c r="C5" s="165"/>
      <c r="D5" s="165"/>
      <c r="E5" s="165"/>
      <c r="F5" s="165"/>
      <c r="G5" s="165"/>
      <c r="H5" s="165"/>
      <c r="I5" s="165"/>
      <c r="J5" s="165"/>
      <c r="L5"/>
      <c r="M5"/>
      <c r="N5"/>
      <c r="O5"/>
    </row>
    <row r="6" spans="1:30" ht="28.5" customHeight="1">
      <c r="A6" s="1597" t="s">
        <v>827</v>
      </c>
      <c r="B6" s="1598"/>
      <c r="C6" s="1596" t="s">
        <v>831</v>
      </c>
      <c r="D6" s="1616" t="s">
        <v>844</v>
      </c>
      <c r="E6" s="1614" t="s">
        <v>1219</v>
      </c>
      <c r="F6" s="1615"/>
      <c r="G6" s="1614" t="s">
        <v>1216</v>
      </c>
      <c r="H6" s="1615"/>
      <c r="I6" s="1614" t="s">
        <v>1203</v>
      </c>
      <c r="J6" s="1615"/>
      <c r="L6"/>
      <c r="M6"/>
      <c r="N6"/>
      <c r="O6"/>
    </row>
    <row r="7" spans="1:30" ht="15" customHeight="1">
      <c r="A7" s="1599"/>
      <c r="B7" s="1600"/>
      <c r="C7" s="1596"/>
      <c r="D7" s="1616"/>
      <c r="E7" s="1603" t="s">
        <v>1184</v>
      </c>
      <c r="F7" s="1589" t="s">
        <v>1185</v>
      </c>
      <c r="G7" s="1603" t="s">
        <v>1184</v>
      </c>
      <c r="H7" s="1589" t="s">
        <v>1185</v>
      </c>
      <c r="I7" s="1603" t="s">
        <v>1184</v>
      </c>
      <c r="J7" s="1589" t="s">
        <v>1185</v>
      </c>
      <c r="L7"/>
      <c r="M7"/>
      <c r="N7"/>
      <c r="O7"/>
    </row>
    <row r="8" spans="1:30" ht="14.25" customHeight="1">
      <c r="A8" s="1599"/>
      <c r="B8" s="1600"/>
      <c r="C8" s="1594" t="s">
        <v>843</v>
      </c>
      <c r="D8" s="1594" t="s">
        <v>843</v>
      </c>
      <c r="E8" s="1604"/>
      <c r="F8" s="1590"/>
      <c r="G8" s="1604"/>
      <c r="H8" s="1590"/>
      <c r="I8" s="1604"/>
      <c r="J8" s="1590"/>
      <c r="M8" s="331"/>
      <c r="O8" s="330" t="s">
        <v>829</v>
      </c>
    </row>
    <row r="9" spans="1:30" ht="23.25" customHeight="1">
      <c r="A9" s="1601"/>
      <c r="B9" s="1602"/>
      <c r="C9" s="1595"/>
      <c r="D9" s="1595"/>
      <c r="E9" s="1604"/>
      <c r="F9" s="1591"/>
      <c r="G9" s="1604"/>
      <c r="H9" s="1591"/>
      <c r="I9" s="1604"/>
      <c r="J9" s="1591"/>
      <c r="L9" s="331" t="s">
        <v>832</v>
      </c>
      <c r="M9" s="331"/>
      <c r="O9" s="330" t="s">
        <v>830</v>
      </c>
    </row>
    <row r="10" spans="1:30" ht="20.100000000000001" customHeight="1">
      <c r="A10" s="1478" t="s">
        <v>847</v>
      </c>
      <c r="B10" s="1479"/>
      <c r="C10" s="1479"/>
      <c r="D10" s="1479"/>
      <c r="E10" s="1479"/>
      <c r="F10" s="1479"/>
      <c r="G10" s="1479"/>
      <c r="H10" s="1479"/>
      <c r="I10" s="1479"/>
      <c r="J10" s="1480"/>
      <c r="L10" s="331" t="s">
        <v>838</v>
      </c>
      <c r="M10" s="332"/>
      <c r="N10" s="332"/>
      <c r="O10" s="329" t="s">
        <v>840</v>
      </c>
    </row>
    <row r="11" spans="1:30" ht="33.75">
      <c r="A11" s="374">
        <v>1</v>
      </c>
      <c r="B11" s="375" t="s">
        <v>1348</v>
      </c>
      <c r="C11" s="376" t="s">
        <v>838</v>
      </c>
      <c r="D11" s="377" t="s">
        <v>830</v>
      </c>
      <c r="E11" s="378">
        <v>18</v>
      </c>
      <c r="F11" s="379">
        <v>1.425</v>
      </c>
      <c r="G11" s="380">
        <v>18</v>
      </c>
      <c r="H11" s="379">
        <v>1.4650000000000001</v>
      </c>
      <c r="I11" s="378">
        <v>20</v>
      </c>
      <c r="J11" s="379">
        <v>1.5840000000000001</v>
      </c>
      <c r="L11" s="332" t="s">
        <v>836</v>
      </c>
      <c r="M11" s="332"/>
      <c r="N11" s="332"/>
      <c r="O11" s="329" t="s">
        <v>839</v>
      </c>
    </row>
    <row r="12" spans="1:30" ht="18" customHeight="1">
      <c r="A12" s="381">
        <v>2</v>
      </c>
      <c r="B12" s="375" t="s">
        <v>1349</v>
      </c>
      <c r="C12" s="383" t="s">
        <v>838</v>
      </c>
      <c r="D12" s="384" t="s">
        <v>829</v>
      </c>
      <c r="E12" s="385">
        <v>19</v>
      </c>
      <c r="F12" s="386">
        <v>1.544</v>
      </c>
      <c r="G12" s="385">
        <v>17</v>
      </c>
      <c r="H12" s="386">
        <v>1.4650000000000001</v>
      </c>
      <c r="I12" s="385">
        <v>20</v>
      </c>
      <c r="J12" s="386">
        <v>1.5840000000000001</v>
      </c>
      <c r="L12" s="332" t="s">
        <v>845</v>
      </c>
      <c r="O12" s="329" t="s">
        <v>745</v>
      </c>
    </row>
    <row r="13" spans="1:30" ht="18" customHeight="1">
      <c r="A13" s="381">
        <v>3</v>
      </c>
      <c r="B13" s="382" t="s">
        <v>1522</v>
      </c>
      <c r="C13" s="383" t="s">
        <v>832</v>
      </c>
      <c r="D13" s="384" t="s">
        <v>829</v>
      </c>
      <c r="E13" s="385">
        <v>52</v>
      </c>
      <c r="F13" s="386">
        <v>1.716</v>
      </c>
      <c r="G13" s="385">
        <v>39</v>
      </c>
      <c r="H13" s="386">
        <v>1.2869999999999999</v>
      </c>
      <c r="I13" s="385">
        <v>39</v>
      </c>
      <c r="J13" s="386">
        <v>1.2869999999999999</v>
      </c>
      <c r="L13" s="170" t="s">
        <v>846</v>
      </c>
      <c r="O13" s="329" t="s">
        <v>746</v>
      </c>
      <c r="Y13" s="170"/>
      <c r="Z13" s="170"/>
      <c r="AA13" s="170"/>
      <c r="AB13" s="170"/>
      <c r="AC13" s="170"/>
      <c r="AD13" s="170"/>
    </row>
    <row r="14" spans="1:30" ht="18" customHeight="1">
      <c r="A14" s="381">
        <v>4</v>
      </c>
      <c r="B14" s="382"/>
      <c r="C14" s="383"/>
      <c r="D14" s="384"/>
      <c r="E14" s="385"/>
      <c r="F14" s="386"/>
      <c r="G14" s="385"/>
      <c r="H14" s="386"/>
      <c r="I14" s="385"/>
      <c r="J14" s="386"/>
      <c r="O14" s="329" t="s">
        <v>837</v>
      </c>
      <c r="Y14" s="170"/>
      <c r="Z14" s="170"/>
      <c r="AA14" s="170"/>
      <c r="AB14" s="170"/>
      <c r="AC14" s="170"/>
      <c r="AD14" s="170"/>
    </row>
    <row r="15" spans="1:30" ht="18" customHeight="1">
      <c r="A15" s="381">
        <v>5</v>
      </c>
      <c r="B15" s="382"/>
      <c r="C15" s="383"/>
      <c r="D15" s="384"/>
      <c r="E15" s="385"/>
      <c r="F15" s="386"/>
      <c r="G15" s="385"/>
      <c r="H15" s="386"/>
      <c r="I15" s="385"/>
      <c r="J15" s="386"/>
      <c r="Y15" s="170"/>
      <c r="Z15" s="170"/>
      <c r="AA15" s="170"/>
      <c r="AB15" s="170"/>
      <c r="AC15" s="170"/>
      <c r="AD15" s="170"/>
    </row>
    <row r="16" spans="1:30" ht="20.100000000000001" customHeight="1">
      <c r="A16" s="1607" t="s">
        <v>752</v>
      </c>
      <c r="B16" s="1607"/>
      <c r="C16" s="1592"/>
      <c r="D16" s="1593"/>
      <c r="E16" s="387">
        <f t="shared" ref="E16:J16" si="0">SUM(E11:E15)</f>
        <v>89</v>
      </c>
      <c r="F16" s="388">
        <f t="shared" si="0"/>
        <v>4.6850000000000005</v>
      </c>
      <c r="G16" s="388">
        <f t="shared" si="0"/>
        <v>74</v>
      </c>
      <c r="H16" s="388">
        <f t="shared" si="0"/>
        <v>4.2170000000000005</v>
      </c>
      <c r="I16" s="388">
        <f t="shared" si="0"/>
        <v>79</v>
      </c>
      <c r="J16" s="388">
        <f t="shared" si="0"/>
        <v>4.4550000000000001</v>
      </c>
      <c r="Y16" s="170"/>
    </row>
    <row r="17" spans="1:29" ht="20.100000000000001" customHeight="1">
      <c r="A17" s="1609" t="s">
        <v>824</v>
      </c>
      <c r="B17" s="1610"/>
      <c r="C17" s="1610"/>
      <c r="D17" s="1610"/>
      <c r="E17" s="1610"/>
      <c r="F17" s="1610"/>
      <c r="G17" s="1610"/>
      <c r="H17" s="1610"/>
      <c r="I17" s="1610"/>
      <c r="J17" s="1611"/>
      <c r="Y17" s="170"/>
    </row>
    <row r="18" spans="1:29" ht="18" customHeight="1">
      <c r="A18" s="374">
        <v>1</v>
      </c>
      <c r="B18" s="375"/>
      <c r="C18" s="383"/>
      <c r="D18" s="389"/>
      <c r="E18" s="390"/>
      <c r="F18" s="379"/>
      <c r="G18" s="390"/>
      <c r="H18" s="379"/>
      <c r="I18" s="390"/>
      <c r="J18" s="379"/>
      <c r="Y18" s="170"/>
    </row>
    <row r="19" spans="1:29" ht="18" customHeight="1">
      <c r="A19" s="381">
        <v>2</v>
      </c>
      <c r="B19" s="382"/>
      <c r="C19" s="383"/>
      <c r="D19" s="391"/>
      <c r="E19" s="392"/>
      <c r="F19" s="386"/>
      <c r="G19" s="392"/>
      <c r="H19" s="386"/>
      <c r="I19" s="392"/>
      <c r="J19" s="386"/>
      <c r="Y19" s="170"/>
    </row>
    <row r="20" spans="1:29" ht="18" customHeight="1">
      <c r="A20" s="381">
        <v>3</v>
      </c>
      <c r="B20" s="382"/>
      <c r="C20" s="383"/>
      <c r="D20" s="391"/>
      <c r="E20" s="392"/>
      <c r="F20" s="386"/>
      <c r="G20" s="392"/>
      <c r="H20" s="386"/>
      <c r="I20" s="392"/>
      <c r="J20" s="386"/>
      <c r="Y20" s="170"/>
    </row>
    <row r="21" spans="1:29" ht="18" customHeight="1">
      <c r="A21" s="381">
        <v>4</v>
      </c>
      <c r="B21" s="382"/>
      <c r="C21" s="383"/>
      <c r="D21" s="391"/>
      <c r="E21" s="392"/>
      <c r="F21" s="386"/>
      <c r="G21" s="392"/>
      <c r="H21" s="386"/>
      <c r="I21" s="392"/>
      <c r="J21" s="386"/>
      <c r="Y21" s="170"/>
    </row>
    <row r="22" spans="1:29" ht="18" customHeight="1">
      <c r="A22" s="381">
        <v>5</v>
      </c>
      <c r="B22" s="382"/>
      <c r="C22" s="383"/>
      <c r="D22" s="391"/>
      <c r="E22" s="392"/>
      <c r="F22" s="386"/>
      <c r="G22" s="392"/>
      <c r="H22" s="386"/>
      <c r="I22" s="392"/>
      <c r="J22" s="386"/>
      <c r="Y22" s="170"/>
    </row>
    <row r="23" spans="1:29" ht="20.100000000000001" customHeight="1">
      <c r="A23" s="1607" t="s">
        <v>752</v>
      </c>
      <c r="B23" s="1607"/>
      <c r="C23" s="1592"/>
      <c r="D23" s="1593"/>
      <c r="E23" s="387">
        <f t="shared" ref="E23:J23" si="1">SUM(E18:E22)</f>
        <v>0</v>
      </c>
      <c r="F23" s="393">
        <f t="shared" si="1"/>
        <v>0</v>
      </c>
      <c r="G23" s="387">
        <f t="shared" si="1"/>
        <v>0</v>
      </c>
      <c r="H23" s="393">
        <f t="shared" si="1"/>
        <v>0</v>
      </c>
      <c r="I23" s="387">
        <f t="shared" si="1"/>
        <v>0</v>
      </c>
      <c r="J23" s="393">
        <f t="shared" si="1"/>
        <v>0</v>
      </c>
    </row>
    <row r="24" spans="1:29" ht="20.25" customHeight="1">
      <c r="A24" s="1609" t="s">
        <v>833</v>
      </c>
      <c r="B24" s="1610"/>
      <c r="C24" s="1610"/>
      <c r="D24" s="1610"/>
      <c r="E24" s="1610"/>
      <c r="F24" s="1610"/>
      <c r="G24" s="1610"/>
      <c r="H24" s="1610"/>
      <c r="I24" s="1610"/>
      <c r="J24" s="1611"/>
    </row>
    <row r="25" spans="1:29" ht="18" customHeight="1">
      <c r="A25" s="374">
        <v>1</v>
      </c>
      <c r="B25" s="394" t="s">
        <v>1521</v>
      </c>
      <c r="C25" s="405" t="s">
        <v>846</v>
      </c>
      <c r="D25" s="377"/>
      <c r="E25" s="406">
        <v>60</v>
      </c>
      <c r="F25" s="396">
        <v>0.216</v>
      </c>
      <c r="G25" s="406"/>
      <c r="H25" s="396"/>
      <c r="I25" s="406"/>
      <c r="J25" s="396"/>
      <c r="K25" s="328"/>
      <c r="L25" s="328"/>
      <c r="M25" s="328"/>
      <c r="AA25" s="244" t="s">
        <v>751</v>
      </c>
      <c r="AB25" s="244" t="s">
        <v>745</v>
      </c>
      <c r="AC25" s="244"/>
    </row>
    <row r="26" spans="1:29" ht="18" customHeight="1">
      <c r="A26" s="381">
        <v>2</v>
      </c>
      <c r="B26" s="397"/>
      <c r="C26" s="398"/>
      <c r="D26" s="399"/>
      <c r="E26" s="400"/>
      <c r="F26" s="401"/>
      <c r="G26" s="400"/>
      <c r="H26" s="402"/>
      <c r="I26" s="400"/>
      <c r="J26" s="402"/>
      <c r="AA26" s="244"/>
      <c r="AB26" s="244" t="s">
        <v>747</v>
      </c>
      <c r="AC26" s="244"/>
    </row>
    <row r="27" spans="1:29" ht="18" customHeight="1">
      <c r="A27" s="381">
        <v>3</v>
      </c>
      <c r="B27" s="397"/>
      <c r="C27" s="398"/>
      <c r="D27" s="399"/>
      <c r="E27" s="400"/>
      <c r="F27" s="401"/>
      <c r="G27" s="400"/>
      <c r="H27" s="402"/>
      <c r="I27" s="400"/>
      <c r="J27" s="402"/>
      <c r="AA27" s="244"/>
      <c r="AB27" s="244" t="s">
        <v>748</v>
      </c>
      <c r="AC27" s="244"/>
    </row>
    <row r="28" spans="1:29" ht="18" customHeight="1">
      <c r="A28" s="381">
        <v>4</v>
      </c>
      <c r="B28" s="397"/>
      <c r="C28" s="398"/>
      <c r="D28" s="399"/>
      <c r="E28" s="400"/>
      <c r="F28" s="401"/>
      <c r="G28" s="400"/>
      <c r="H28" s="402"/>
      <c r="I28" s="400"/>
      <c r="J28" s="402"/>
      <c r="AA28" s="244"/>
      <c r="AB28" s="244" t="s">
        <v>746</v>
      </c>
      <c r="AC28" s="244"/>
    </row>
    <row r="29" spans="1:29" ht="18" hidden="1" customHeight="1">
      <c r="A29" s="381">
        <v>5</v>
      </c>
      <c r="B29" s="397"/>
      <c r="C29" s="398"/>
      <c r="D29" s="399"/>
      <c r="E29" s="400"/>
      <c r="F29" s="401"/>
      <c r="G29" s="400"/>
      <c r="H29" s="402"/>
      <c r="I29" s="400"/>
      <c r="J29" s="402"/>
      <c r="AA29" s="244"/>
      <c r="AB29" s="244"/>
      <c r="AC29" s="244"/>
    </row>
    <row r="30" spans="1:29" ht="21.95" customHeight="1">
      <c r="A30" s="1607" t="s">
        <v>752</v>
      </c>
      <c r="B30" s="1607"/>
      <c r="C30" s="1592"/>
      <c r="D30" s="1593"/>
      <c r="E30" s="403">
        <f t="shared" ref="E30:J30" si="2">SUM(E25:E29)</f>
        <v>60</v>
      </c>
      <c r="F30" s="404">
        <f t="shared" si="2"/>
        <v>0.216</v>
      </c>
      <c r="G30" s="403">
        <f t="shared" si="2"/>
        <v>0</v>
      </c>
      <c r="H30" s="404">
        <f t="shared" si="2"/>
        <v>0</v>
      </c>
      <c r="I30" s="403">
        <f t="shared" si="2"/>
        <v>0</v>
      </c>
      <c r="J30" s="404">
        <f t="shared" si="2"/>
        <v>0</v>
      </c>
      <c r="K30" s="328"/>
      <c r="M30" s="328"/>
    </row>
    <row r="31" spans="1:29" ht="20.100000000000001" customHeight="1">
      <c r="A31" s="1612" t="s">
        <v>834</v>
      </c>
      <c r="B31" s="1613"/>
      <c r="C31" s="1613"/>
      <c r="D31" s="1613"/>
      <c r="E31" s="1613"/>
      <c r="F31" s="1613"/>
      <c r="G31" s="1613"/>
      <c r="H31" s="1613"/>
      <c r="I31" s="1613"/>
      <c r="J31" s="1613"/>
      <c r="K31" s="328"/>
      <c r="L31" s="328"/>
      <c r="M31" s="328"/>
    </row>
    <row r="32" spans="1:29" ht="18" customHeight="1">
      <c r="A32" s="374">
        <v>1</v>
      </c>
      <c r="B32" s="394"/>
      <c r="C32" s="405"/>
      <c r="D32" s="395"/>
      <c r="E32" s="406"/>
      <c r="F32" s="396"/>
      <c r="G32" s="406"/>
      <c r="H32" s="396"/>
      <c r="I32" s="406"/>
      <c r="J32" s="396"/>
      <c r="K32" s="328"/>
      <c r="L32" s="328"/>
      <c r="M32" s="328"/>
      <c r="AA32" s="244" t="s">
        <v>751</v>
      </c>
      <c r="AB32" s="244" t="s">
        <v>745</v>
      </c>
      <c r="AC32" s="244"/>
    </row>
    <row r="33" spans="1:29" ht="18" customHeight="1">
      <c r="A33" s="381">
        <v>2</v>
      </c>
      <c r="B33" s="397"/>
      <c r="C33" s="383"/>
      <c r="D33" s="399"/>
      <c r="E33" s="407"/>
      <c r="F33" s="402"/>
      <c r="G33" s="407"/>
      <c r="H33" s="402"/>
      <c r="I33" s="407"/>
      <c r="J33" s="402"/>
      <c r="L33" s="328"/>
      <c r="AA33" s="244"/>
      <c r="AB33" s="244" t="s">
        <v>747</v>
      </c>
      <c r="AC33" s="244"/>
    </row>
    <row r="34" spans="1:29" ht="18" hidden="1" customHeight="1">
      <c r="A34" s="381">
        <v>3</v>
      </c>
      <c r="B34" s="397"/>
      <c r="C34" s="383"/>
      <c r="D34" s="399"/>
      <c r="E34" s="400"/>
      <c r="F34" s="402"/>
      <c r="G34" s="400"/>
      <c r="H34" s="402"/>
      <c r="I34" s="400"/>
      <c r="J34" s="402"/>
      <c r="AA34" s="244"/>
      <c r="AB34" s="244" t="s">
        <v>748</v>
      </c>
      <c r="AC34" s="244"/>
    </row>
    <row r="35" spans="1:29" ht="18" hidden="1" customHeight="1">
      <c r="A35" s="381">
        <v>4</v>
      </c>
      <c r="B35" s="397"/>
      <c r="C35" s="383"/>
      <c r="D35" s="399"/>
      <c r="E35" s="407"/>
      <c r="F35" s="402"/>
      <c r="G35" s="407"/>
      <c r="H35" s="402"/>
      <c r="I35" s="407"/>
      <c r="J35" s="402"/>
      <c r="AA35" s="244"/>
      <c r="AB35" s="244" t="s">
        <v>746</v>
      </c>
      <c r="AC35" s="244"/>
    </row>
    <row r="36" spans="1:29" ht="18" hidden="1" customHeight="1">
      <c r="A36" s="381">
        <v>5</v>
      </c>
      <c r="B36" s="397"/>
      <c r="C36" s="383"/>
      <c r="D36" s="399"/>
      <c r="E36" s="407"/>
      <c r="F36" s="402"/>
      <c r="G36" s="407"/>
      <c r="H36" s="402"/>
      <c r="I36" s="407"/>
      <c r="J36" s="402"/>
      <c r="AA36" s="244"/>
      <c r="AB36" s="244"/>
      <c r="AC36" s="244"/>
    </row>
    <row r="37" spans="1:29" ht="20.100000000000001" customHeight="1">
      <c r="A37" s="1607" t="s">
        <v>752</v>
      </c>
      <c r="B37" s="1607"/>
      <c r="C37" s="1592"/>
      <c r="D37" s="1593"/>
      <c r="E37" s="403">
        <f>SUM(E32:E36)</f>
        <v>0</v>
      </c>
      <c r="F37" s="408">
        <f>SUM(F32:F36)</f>
        <v>0</v>
      </c>
      <c r="G37" s="409"/>
      <c r="H37" s="409"/>
      <c r="I37" s="409"/>
      <c r="J37" s="409"/>
    </row>
    <row r="38" spans="1:29" ht="20.100000000000001" customHeight="1">
      <c r="A38" s="1620" t="s">
        <v>835</v>
      </c>
      <c r="B38" s="1621"/>
      <c r="C38" s="1621"/>
      <c r="D38" s="1621"/>
      <c r="E38" s="1621"/>
      <c r="F38" s="1621"/>
      <c r="G38" s="1621"/>
      <c r="H38" s="1621"/>
      <c r="I38" s="1621"/>
      <c r="J38" s="1621"/>
      <c r="K38" s="328"/>
      <c r="M38" s="328"/>
    </row>
    <row r="39" spans="1:29" ht="18" customHeight="1">
      <c r="A39" s="374">
        <v>1</v>
      </c>
      <c r="B39" s="375"/>
      <c r="C39" s="405"/>
      <c r="D39" s="395"/>
      <c r="E39" s="410"/>
      <c r="F39" s="411"/>
      <c r="G39" s="410"/>
      <c r="H39" s="411"/>
      <c r="I39" s="410"/>
      <c r="J39" s="411"/>
      <c r="K39" s="328"/>
      <c r="L39" s="328"/>
      <c r="M39" s="328"/>
      <c r="AA39" s="244" t="s">
        <v>751</v>
      </c>
      <c r="AB39" s="244" t="s">
        <v>745</v>
      </c>
      <c r="AC39" s="244"/>
    </row>
    <row r="40" spans="1:29" ht="18" customHeight="1">
      <c r="A40" s="381">
        <v>2</v>
      </c>
      <c r="B40" s="382"/>
      <c r="C40" s="383"/>
      <c r="D40" s="399"/>
      <c r="E40" s="410"/>
      <c r="F40" s="412"/>
      <c r="G40" s="410"/>
      <c r="H40" s="412"/>
      <c r="I40" s="410"/>
      <c r="J40" s="412"/>
      <c r="L40" s="328"/>
      <c r="AA40" s="244"/>
      <c r="AB40" s="244" t="s">
        <v>747</v>
      </c>
      <c r="AC40" s="244"/>
    </row>
    <row r="41" spans="1:29" ht="18" customHeight="1">
      <c r="A41" s="381">
        <v>3</v>
      </c>
      <c r="B41" s="382"/>
      <c r="C41" s="383"/>
      <c r="D41" s="399"/>
      <c r="E41" s="410"/>
      <c r="F41" s="413"/>
      <c r="G41" s="410"/>
      <c r="H41" s="413"/>
      <c r="I41" s="410"/>
      <c r="J41" s="413"/>
      <c r="AA41" s="244"/>
      <c r="AB41" s="244" t="s">
        <v>748</v>
      </c>
      <c r="AC41" s="244"/>
    </row>
    <row r="42" spans="1:29" ht="18" customHeight="1">
      <c r="A42" s="381">
        <v>4</v>
      </c>
      <c r="B42" s="382"/>
      <c r="C42" s="383"/>
      <c r="D42" s="399"/>
      <c r="E42" s="410"/>
      <c r="F42" s="413"/>
      <c r="G42" s="410"/>
      <c r="H42" s="413"/>
      <c r="I42" s="410"/>
      <c r="J42" s="413"/>
      <c r="AA42" s="244"/>
      <c r="AB42" s="244"/>
      <c r="AC42" s="244"/>
    </row>
    <row r="43" spans="1:29" ht="18" customHeight="1">
      <c r="A43" s="381">
        <v>5</v>
      </c>
      <c r="B43" s="382"/>
      <c r="C43" s="383"/>
      <c r="D43" s="399"/>
      <c r="E43" s="410"/>
      <c r="F43" s="413"/>
      <c r="G43" s="410"/>
      <c r="H43" s="413"/>
      <c r="I43" s="410"/>
      <c r="J43" s="413"/>
      <c r="AA43" s="244"/>
      <c r="AB43" s="244"/>
      <c r="AC43" s="244"/>
    </row>
    <row r="44" spans="1:29" ht="20.100000000000001" customHeight="1">
      <c r="A44" s="1607" t="s">
        <v>752</v>
      </c>
      <c r="B44" s="1607"/>
      <c r="C44" s="1592"/>
      <c r="D44" s="1593"/>
      <c r="E44" s="403">
        <f t="shared" ref="E44:J45" si="3">SUM(E39:E43)</f>
        <v>0</v>
      </c>
      <c r="F44" s="414">
        <f t="shared" si="3"/>
        <v>0</v>
      </c>
      <c r="G44" s="403">
        <f t="shared" si="3"/>
        <v>0</v>
      </c>
      <c r="H44" s="408">
        <f t="shared" si="3"/>
        <v>0</v>
      </c>
      <c r="I44" s="403">
        <f t="shared" si="3"/>
        <v>0</v>
      </c>
      <c r="J44" s="408">
        <f t="shared" si="3"/>
        <v>0</v>
      </c>
    </row>
    <row r="45" spans="1:29" s="335" customFormat="1" ht="21.95" customHeight="1">
      <c r="A45" s="1617" t="s">
        <v>150</v>
      </c>
      <c r="B45" s="1617"/>
      <c r="C45" s="1618"/>
      <c r="D45" s="1619"/>
      <c r="E45" s="415">
        <f t="shared" si="3"/>
        <v>0</v>
      </c>
      <c r="F45" s="416">
        <f t="shared" si="3"/>
        <v>0</v>
      </c>
      <c r="G45" s="415">
        <f t="shared" si="3"/>
        <v>0</v>
      </c>
      <c r="H45" s="417">
        <f t="shared" si="3"/>
        <v>0</v>
      </c>
      <c r="I45" s="415">
        <f t="shared" si="3"/>
        <v>0</v>
      </c>
      <c r="J45" s="417">
        <f t="shared" si="3"/>
        <v>0</v>
      </c>
      <c r="K45" s="334"/>
      <c r="L45" s="170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</row>
    <row r="46" spans="1:29">
      <c r="A46" s="245"/>
      <c r="B46" s="245"/>
      <c r="C46" s="245"/>
      <c r="D46" s="245"/>
      <c r="E46" s="245"/>
      <c r="F46" s="245"/>
      <c r="G46" s="244"/>
      <c r="L46" s="334"/>
    </row>
    <row r="47" spans="1:29">
      <c r="D47" s="245"/>
      <c r="E47" s="245"/>
      <c r="F47" s="245"/>
      <c r="G47" s="244"/>
    </row>
    <row r="48" spans="1:29">
      <c r="D48" s="245"/>
      <c r="E48" s="245"/>
      <c r="F48" s="245"/>
      <c r="G48" s="244"/>
    </row>
    <row r="49" spans="1:10">
      <c r="B49" s="333" t="s">
        <v>842</v>
      </c>
      <c r="D49" s="245"/>
      <c r="E49" s="245"/>
      <c r="F49" s="245"/>
      <c r="G49" s="244"/>
      <c r="H49" s="333" t="s">
        <v>841</v>
      </c>
      <c r="I49" s="333"/>
      <c r="J49" s="333"/>
    </row>
    <row r="50" spans="1:10">
      <c r="D50" s="245"/>
      <c r="E50" s="245"/>
      <c r="F50" s="245"/>
      <c r="G50" s="244"/>
    </row>
    <row r="51" spans="1:10">
      <c r="D51" s="245"/>
      <c r="E51" s="245"/>
      <c r="F51" s="245"/>
      <c r="G51" s="244"/>
    </row>
    <row r="52" spans="1:10">
      <c r="D52" s="245"/>
      <c r="E52" s="245"/>
      <c r="F52" s="245"/>
      <c r="G52" s="244"/>
    </row>
    <row r="53" spans="1:10">
      <c r="D53" s="245"/>
      <c r="E53" s="245"/>
      <c r="F53" s="245"/>
      <c r="G53" s="244"/>
    </row>
    <row r="54" spans="1:10">
      <c r="D54" s="244"/>
      <c r="E54" s="244"/>
      <c r="F54" s="244"/>
      <c r="G54" s="244"/>
    </row>
    <row r="55" spans="1:10">
      <c r="A55" s="244"/>
      <c r="B55" s="244"/>
      <c r="C55" s="244"/>
      <c r="D55" s="244"/>
      <c r="E55" s="244"/>
      <c r="F55" s="244"/>
      <c r="G55" s="244"/>
    </row>
    <row r="80" spans="1:3">
      <c r="A80" s="245"/>
      <c r="B80" s="245" t="s">
        <v>749</v>
      </c>
      <c r="C80" s="245"/>
    </row>
    <row r="81" spans="1:3">
      <c r="A81" s="245"/>
      <c r="B81" s="245" t="s">
        <v>750</v>
      </c>
      <c r="C81" s="245"/>
    </row>
    <row r="82" spans="1:3">
      <c r="A82" s="245"/>
      <c r="B82" s="245" t="s">
        <v>751</v>
      </c>
      <c r="C82" s="245"/>
    </row>
    <row r="83" spans="1:3">
      <c r="A83" s="245"/>
      <c r="B83" s="245"/>
      <c r="C83" s="245"/>
    </row>
    <row r="84" spans="1:3">
      <c r="A84" s="245"/>
      <c r="B84" s="245"/>
      <c r="C84" s="245"/>
    </row>
    <row r="85" spans="1:3">
      <c r="A85" s="245"/>
      <c r="B85" s="245"/>
      <c r="C85" s="245"/>
    </row>
    <row r="86" spans="1:3">
      <c r="A86" s="245"/>
      <c r="B86" s="245"/>
      <c r="C86" s="245"/>
    </row>
    <row r="87" spans="1:3">
      <c r="A87" s="244"/>
      <c r="B87" s="244"/>
      <c r="C87" s="244"/>
    </row>
  </sheetData>
  <mergeCells count="33">
    <mergeCell ref="A45:B45"/>
    <mergeCell ref="C45:D45"/>
    <mergeCell ref="A38:J38"/>
    <mergeCell ref="A44:B44"/>
    <mergeCell ref="C23:D23"/>
    <mergeCell ref="C30:D30"/>
    <mergeCell ref="C37:D37"/>
    <mergeCell ref="C44:D44"/>
    <mergeCell ref="A24:J24"/>
    <mergeCell ref="A30:B30"/>
    <mergeCell ref="A23:B23"/>
    <mergeCell ref="I1:J1"/>
    <mergeCell ref="A37:B37"/>
    <mergeCell ref="A2:J2"/>
    <mergeCell ref="A17:J17"/>
    <mergeCell ref="A10:J10"/>
    <mergeCell ref="A31:J31"/>
    <mergeCell ref="G7:G9"/>
    <mergeCell ref="H7:H9"/>
    <mergeCell ref="I6:J6"/>
    <mergeCell ref="I7:I9"/>
    <mergeCell ref="J7:J9"/>
    <mergeCell ref="G6:H6"/>
    <mergeCell ref="E6:F6"/>
    <mergeCell ref="D6:D7"/>
    <mergeCell ref="D8:D9"/>
    <mergeCell ref="A16:B16"/>
    <mergeCell ref="F7:F9"/>
    <mergeCell ref="C16:D16"/>
    <mergeCell ref="C8:C9"/>
    <mergeCell ref="C6:C7"/>
    <mergeCell ref="A6:B9"/>
    <mergeCell ref="E7:E9"/>
  </mergeCells>
  <dataValidations count="8">
    <dataValidation type="list" allowBlank="1" showInputMessage="1" showErrorMessage="1" sqref="F32:F36">
      <formula1>#REF!</formula1>
    </dataValidation>
    <dataValidation type="whole" allowBlank="1" showInputMessage="1" showErrorMessage="1" sqref="E11:E15">
      <formula1>1</formula1>
      <formula2>9000</formula2>
    </dataValidation>
    <dataValidation allowBlank="1" showInputMessage="1" showErrorMessage="1" sqref="E39:E43"/>
    <dataValidation type="list" allowBlank="1" showInputMessage="1" showErrorMessage="1" sqref="C11:C15">
      <formula1>$L$9:$L$10</formula1>
    </dataValidation>
    <dataValidation type="list" allowBlank="1" showInputMessage="1" showErrorMessage="1" sqref="C18:C22">
      <formula1>$L$11:$L$12</formula1>
    </dataValidation>
    <dataValidation type="list" allowBlank="1" showInputMessage="1" showErrorMessage="1" sqref="D11:D15 D25">
      <formula1>$O$8:$O$9</formula1>
    </dataValidation>
    <dataValidation type="list" allowBlank="1" showInputMessage="1" showErrorMessage="1" sqref="D18:D22 D32:D36 D39:D43 D26:D29">
      <formula1>$O$10:$O$14</formula1>
    </dataValidation>
    <dataValidation type="list" allowBlank="1" showInputMessage="1" showErrorMessage="1" sqref="C25:C29 C39:C43 C32:C36">
      <formula1>$L$9:$L$13</formula1>
    </dataValidation>
  </dataValidations>
  <printOptions horizontalCentered="1"/>
  <pageMargins left="0.3" right="0.25" top="0.1" bottom="0" header="0.2" footer="0.05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N84"/>
  <sheetViews>
    <sheetView view="pageBreakPreview" zoomScaleSheetLayoutView="100" workbookViewId="0">
      <selection activeCell="N8" sqref="N8"/>
    </sheetView>
  </sheetViews>
  <sheetFormatPr defaultRowHeight="12.75"/>
  <cols>
    <col min="1" max="1" width="3.28515625" style="1" bestFit="1" customWidth="1"/>
    <col min="2" max="2" width="22.28515625" style="28" customWidth="1"/>
    <col min="3" max="3" width="10.7109375" style="1" customWidth="1"/>
    <col min="4" max="4" width="8.7109375" style="357" customWidth="1"/>
    <col min="5" max="5" width="10.7109375" style="1" customWidth="1"/>
    <col min="6" max="6" width="9.7109375" style="1" customWidth="1"/>
    <col min="7" max="7" width="8.7109375" style="1" customWidth="1"/>
    <col min="8" max="8" width="11" style="302" bestFit="1" customWidth="1"/>
    <col min="9" max="9" width="9.7109375" style="302" customWidth="1"/>
    <col min="10" max="10" width="10.7109375" style="1" customWidth="1"/>
    <col min="11" max="255" width="9.140625" style="1"/>
    <col min="256" max="256" width="33.140625" style="1" customWidth="1"/>
    <col min="257" max="257" width="13.85546875" style="1" customWidth="1"/>
    <col min="258" max="259" width="14.7109375" style="1" customWidth="1"/>
    <col min="260" max="511" width="9.140625" style="1"/>
    <col min="512" max="512" width="33.140625" style="1" customWidth="1"/>
    <col min="513" max="513" width="13.85546875" style="1" customWidth="1"/>
    <col min="514" max="515" width="14.7109375" style="1" customWidth="1"/>
    <col min="516" max="767" width="9.140625" style="1"/>
    <col min="768" max="768" width="33.140625" style="1" customWidth="1"/>
    <col min="769" max="769" width="13.85546875" style="1" customWidth="1"/>
    <col min="770" max="771" width="14.7109375" style="1" customWidth="1"/>
    <col min="772" max="1023" width="9.140625" style="1"/>
    <col min="1024" max="1024" width="33.140625" style="1" customWidth="1"/>
    <col min="1025" max="1025" width="13.85546875" style="1" customWidth="1"/>
    <col min="1026" max="1027" width="14.7109375" style="1" customWidth="1"/>
    <col min="1028" max="1279" width="9.140625" style="1"/>
    <col min="1280" max="1280" width="33.140625" style="1" customWidth="1"/>
    <col min="1281" max="1281" width="13.85546875" style="1" customWidth="1"/>
    <col min="1282" max="1283" width="14.7109375" style="1" customWidth="1"/>
    <col min="1284" max="1535" width="9.140625" style="1"/>
    <col min="1536" max="1536" width="33.140625" style="1" customWidth="1"/>
    <col min="1537" max="1537" width="13.85546875" style="1" customWidth="1"/>
    <col min="1538" max="1539" width="14.7109375" style="1" customWidth="1"/>
    <col min="1540" max="1791" width="9.140625" style="1"/>
    <col min="1792" max="1792" width="33.140625" style="1" customWidth="1"/>
    <col min="1793" max="1793" width="13.85546875" style="1" customWidth="1"/>
    <col min="1794" max="1795" width="14.7109375" style="1" customWidth="1"/>
    <col min="1796" max="2047" width="9.140625" style="1"/>
    <col min="2048" max="2048" width="33.140625" style="1" customWidth="1"/>
    <col min="2049" max="2049" width="13.85546875" style="1" customWidth="1"/>
    <col min="2050" max="2051" width="14.7109375" style="1" customWidth="1"/>
    <col min="2052" max="2303" width="9.140625" style="1"/>
    <col min="2304" max="2304" width="33.140625" style="1" customWidth="1"/>
    <col min="2305" max="2305" width="13.85546875" style="1" customWidth="1"/>
    <col min="2306" max="2307" width="14.7109375" style="1" customWidth="1"/>
    <col min="2308" max="2559" width="9.140625" style="1"/>
    <col min="2560" max="2560" width="33.140625" style="1" customWidth="1"/>
    <col min="2561" max="2561" width="13.85546875" style="1" customWidth="1"/>
    <col min="2562" max="2563" width="14.7109375" style="1" customWidth="1"/>
    <col min="2564" max="2815" width="9.140625" style="1"/>
    <col min="2816" max="2816" width="33.140625" style="1" customWidth="1"/>
    <col min="2817" max="2817" width="13.85546875" style="1" customWidth="1"/>
    <col min="2818" max="2819" width="14.7109375" style="1" customWidth="1"/>
    <col min="2820" max="3071" width="9.140625" style="1"/>
    <col min="3072" max="3072" width="33.140625" style="1" customWidth="1"/>
    <col min="3073" max="3073" width="13.85546875" style="1" customWidth="1"/>
    <col min="3074" max="3075" width="14.7109375" style="1" customWidth="1"/>
    <col min="3076" max="3327" width="9.140625" style="1"/>
    <col min="3328" max="3328" width="33.140625" style="1" customWidth="1"/>
    <col min="3329" max="3329" width="13.85546875" style="1" customWidth="1"/>
    <col min="3330" max="3331" width="14.7109375" style="1" customWidth="1"/>
    <col min="3332" max="3583" width="9.140625" style="1"/>
    <col min="3584" max="3584" width="33.140625" style="1" customWidth="1"/>
    <col min="3585" max="3585" width="13.85546875" style="1" customWidth="1"/>
    <col min="3586" max="3587" width="14.7109375" style="1" customWidth="1"/>
    <col min="3588" max="3839" width="9.140625" style="1"/>
    <col min="3840" max="3840" width="33.140625" style="1" customWidth="1"/>
    <col min="3841" max="3841" width="13.85546875" style="1" customWidth="1"/>
    <col min="3842" max="3843" width="14.7109375" style="1" customWidth="1"/>
    <col min="3844" max="4095" width="9.140625" style="1"/>
    <col min="4096" max="4096" width="33.140625" style="1" customWidth="1"/>
    <col min="4097" max="4097" width="13.85546875" style="1" customWidth="1"/>
    <col min="4098" max="4099" width="14.7109375" style="1" customWidth="1"/>
    <col min="4100" max="4351" width="9.140625" style="1"/>
    <col min="4352" max="4352" width="33.140625" style="1" customWidth="1"/>
    <col min="4353" max="4353" width="13.85546875" style="1" customWidth="1"/>
    <col min="4354" max="4355" width="14.7109375" style="1" customWidth="1"/>
    <col min="4356" max="4607" width="9.140625" style="1"/>
    <col min="4608" max="4608" width="33.140625" style="1" customWidth="1"/>
    <col min="4609" max="4609" width="13.85546875" style="1" customWidth="1"/>
    <col min="4610" max="4611" width="14.7109375" style="1" customWidth="1"/>
    <col min="4612" max="4863" width="9.140625" style="1"/>
    <col min="4864" max="4864" width="33.140625" style="1" customWidth="1"/>
    <col min="4865" max="4865" width="13.85546875" style="1" customWidth="1"/>
    <col min="4866" max="4867" width="14.7109375" style="1" customWidth="1"/>
    <col min="4868" max="5119" width="9.140625" style="1"/>
    <col min="5120" max="5120" width="33.140625" style="1" customWidth="1"/>
    <col min="5121" max="5121" width="13.85546875" style="1" customWidth="1"/>
    <col min="5122" max="5123" width="14.7109375" style="1" customWidth="1"/>
    <col min="5124" max="5375" width="9.140625" style="1"/>
    <col min="5376" max="5376" width="33.140625" style="1" customWidth="1"/>
    <col min="5377" max="5377" width="13.85546875" style="1" customWidth="1"/>
    <col min="5378" max="5379" width="14.7109375" style="1" customWidth="1"/>
    <col min="5380" max="5631" width="9.140625" style="1"/>
    <col min="5632" max="5632" width="33.140625" style="1" customWidth="1"/>
    <col min="5633" max="5633" width="13.85546875" style="1" customWidth="1"/>
    <col min="5634" max="5635" width="14.7109375" style="1" customWidth="1"/>
    <col min="5636" max="5887" width="9.140625" style="1"/>
    <col min="5888" max="5888" width="33.140625" style="1" customWidth="1"/>
    <col min="5889" max="5889" width="13.85546875" style="1" customWidth="1"/>
    <col min="5890" max="5891" width="14.7109375" style="1" customWidth="1"/>
    <col min="5892" max="6143" width="9.140625" style="1"/>
    <col min="6144" max="6144" width="33.140625" style="1" customWidth="1"/>
    <col min="6145" max="6145" width="13.85546875" style="1" customWidth="1"/>
    <col min="6146" max="6147" width="14.7109375" style="1" customWidth="1"/>
    <col min="6148" max="6399" width="9.140625" style="1"/>
    <col min="6400" max="6400" width="33.140625" style="1" customWidth="1"/>
    <col min="6401" max="6401" width="13.85546875" style="1" customWidth="1"/>
    <col min="6402" max="6403" width="14.7109375" style="1" customWidth="1"/>
    <col min="6404" max="6655" width="9.140625" style="1"/>
    <col min="6656" max="6656" width="33.140625" style="1" customWidth="1"/>
    <col min="6657" max="6657" width="13.85546875" style="1" customWidth="1"/>
    <col min="6658" max="6659" width="14.7109375" style="1" customWidth="1"/>
    <col min="6660" max="6911" width="9.140625" style="1"/>
    <col min="6912" max="6912" width="33.140625" style="1" customWidth="1"/>
    <col min="6913" max="6913" width="13.85546875" style="1" customWidth="1"/>
    <col min="6914" max="6915" width="14.7109375" style="1" customWidth="1"/>
    <col min="6916" max="7167" width="9.140625" style="1"/>
    <col min="7168" max="7168" width="33.140625" style="1" customWidth="1"/>
    <col min="7169" max="7169" width="13.85546875" style="1" customWidth="1"/>
    <col min="7170" max="7171" width="14.7109375" style="1" customWidth="1"/>
    <col min="7172" max="7423" width="9.140625" style="1"/>
    <col min="7424" max="7424" width="33.140625" style="1" customWidth="1"/>
    <col min="7425" max="7425" width="13.85546875" style="1" customWidth="1"/>
    <col min="7426" max="7427" width="14.7109375" style="1" customWidth="1"/>
    <col min="7428" max="7679" width="9.140625" style="1"/>
    <col min="7680" max="7680" width="33.140625" style="1" customWidth="1"/>
    <col min="7681" max="7681" width="13.85546875" style="1" customWidth="1"/>
    <col min="7682" max="7683" width="14.7109375" style="1" customWidth="1"/>
    <col min="7684" max="7935" width="9.140625" style="1"/>
    <col min="7936" max="7936" width="33.140625" style="1" customWidth="1"/>
    <col min="7937" max="7937" width="13.85546875" style="1" customWidth="1"/>
    <col min="7938" max="7939" width="14.7109375" style="1" customWidth="1"/>
    <col min="7940" max="8191" width="9.140625" style="1"/>
    <col min="8192" max="8192" width="33.140625" style="1" customWidth="1"/>
    <col min="8193" max="8193" width="13.85546875" style="1" customWidth="1"/>
    <col min="8194" max="8195" width="14.7109375" style="1" customWidth="1"/>
    <col min="8196" max="8447" width="9.140625" style="1"/>
    <col min="8448" max="8448" width="33.140625" style="1" customWidth="1"/>
    <col min="8449" max="8449" width="13.85546875" style="1" customWidth="1"/>
    <col min="8450" max="8451" width="14.7109375" style="1" customWidth="1"/>
    <col min="8452" max="8703" width="9.140625" style="1"/>
    <col min="8704" max="8704" width="33.140625" style="1" customWidth="1"/>
    <col min="8705" max="8705" width="13.85546875" style="1" customWidth="1"/>
    <col min="8706" max="8707" width="14.7109375" style="1" customWidth="1"/>
    <col min="8708" max="8959" width="9.140625" style="1"/>
    <col min="8960" max="8960" width="33.140625" style="1" customWidth="1"/>
    <col min="8961" max="8961" width="13.85546875" style="1" customWidth="1"/>
    <col min="8962" max="8963" width="14.7109375" style="1" customWidth="1"/>
    <col min="8964" max="9215" width="9.140625" style="1"/>
    <col min="9216" max="9216" width="33.140625" style="1" customWidth="1"/>
    <col min="9217" max="9217" width="13.85546875" style="1" customWidth="1"/>
    <col min="9218" max="9219" width="14.7109375" style="1" customWidth="1"/>
    <col min="9220" max="9471" width="9.140625" style="1"/>
    <col min="9472" max="9472" width="33.140625" style="1" customWidth="1"/>
    <col min="9473" max="9473" width="13.85546875" style="1" customWidth="1"/>
    <col min="9474" max="9475" width="14.7109375" style="1" customWidth="1"/>
    <col min="9476" max="9727" width="9.140625" style="1"/>
    <col min="9728" max="9728" width="33.140625" style="1" customWidth="1"/>
    <col min="9729" max="9729" width="13.85546875" style="1" customWidth="1"/>
    <col min="9730" max="9731" width="14.7109375" style="1" customWidth="1"/>
    <col min="9732" max="9983" width="9.140625" style="1"/>
    <col min="9984" max="9984" width="33.140625" style="1" customWidth="1"/>
    <col min="9985" max="9985" width="13.85546875" style="1" customWidth="1"/>
    <col min="9986" max="9987" width="14.7109375" style="1" customWidth="1"/>
    <col min="9988" max="10239" width="9.140625" style="1"/>
    <col min="10240" max="10240" width="33.140625" style="1" customWidth="1"/>
    <col min="10241" max="10241" width="13.85546875" style="1" customWidth="1"/>
    <col min="10242" max="10243" width="14.7109375" style="1" customWidth="1"/>
    <col min="10244" max="10495" width="9.140625" style="1"/>
    <col min="10496" max="10496" width="33.140625" style="1" customWidth="1"/>
    <col min="10497" max="10497" width="13.85546875" style="1" customWidth="1"/>
    <col min="10498" max="10499" width="14.7109375" style="1" customWidth="1"/>
    <col min="10500" max="10751" width="9.140625" style="1"/>
    <col min="10752" max="10752" width="33.140625" style="1" customWidth="1"/>
    <col min="10753" max="10753" width="13.85546875" style="1" customWidth="1"/>
    <col min="10754" max="10755" width="14.7109375" style="1" customWidth="1"/>
    <col min="10756" max="11007" width="9.140625" style="1"/>
    <col min="11008" max="11008" width="33.140625" style="1" customWidth="1"/>
    <col min="11009" max="11009" width="13.85546875" style="1" customWidth="1"/>
    <col min="11010" max="11011" width="14.7109375" style="1" customWidth="1"/>
    <col min="11012" max="11263" width="9.140625" style="1"/>
    <col min="11264" max="11264" width="33.140625" style="1" customWidth="1"/>
    <col min="11265" max="11265" width="13.85546875" style="1" customWidth="1"/>
    <col min="11266" max="11267" width="14.7109375" style="1" customWidth="1"/>
    <col min="11268" max="11519" width="9.140625" style="1"/>
    <col min="11520" max="11520" width="33.140625" style="1" customWidth="1"/>
    <col min="11521" max="11521" width="13.85546875" style="1" customWidth="1"/>
    <col min="11522" max="11523" width="14.7109375" style="1" customWidth="1"/>
    <col min="11524" max="11775" width="9.140625" style="1"/>
    <col min="11776" max="11776" width="33.140625" style="1" customWidth="1"/>
    <col min="11777" max="11777" width="13.85546875" style="1" customWidth="1"/>
    <col min="11778" max="11779" width="14.7109375" style="1" customWidth="1"/>
    <col min="11780" max="12031" width="9.140625" style="1"/>
    <col min="12032" max="12032" width="33.140625" style="1" customWidth="1"/>
    <col min="12033" max="12033" width="13.85546875" style="1" customWidth="1"/>
    <col min="12034" max="12035" width="14.7109375" style="1" customWidth="1"/>
    <col min="12036" max="12287" width="9.140625" style="1"/>
    <col min="12288" max="12288" width="33.140625" style="1" customWidth="1"/>
    <col min="12289" max="12289" width="13.85546875" style="1" customWidth="1"/>
    <col min="12290" max="12291" width="14.7109375" style="1" customWidth="1"/>
    <col min="12292" max="12543" width="9.140625" style="1"/>
    <col min="12544" max="12544" width="33.140625" style="1" customWidth="1"/>
    <col min="12545" max="12545" width="13.85546875" style="1" customWidth="1"/>
    <col min="12546" max="12547" width="14.7109375" style="1" customWidth="1"/>
    <col min="12548" max="12799" width="9.140625" style="1"/>
    <col min="12800" max="12800" width="33.140625" style="1" customWidth="1"/>
    <col min="12801" max="12801" width="13.85546875" style="1" customWidth="1"/>
    <col min="12802" max="12803" width="14.7109375" style="1" customWidth="1"/>
    <col min="12804" max="13055" width="9.140625" style="1"/>
    <col min="13056" max="13056" width="33.140625" style="1" customWidth="1"/>
    <col min="13057" max="13057" width="13.85546875" style="1" customWidth="1"/>
    <col min="13058" max="13059" width="14.7109375" style="1" customWidth="1"/>
    <col min="13060" max="13311" width="9.140625" style="1"/>
    <col min="13312" max="13312" width="33.140625" style="1" customWidth="1"/>
    <col min="13313" max="13313" width="13.85546875" style="1" customWidth="1"/>
    <col min="13314" max="13315" width="14.7109375" style="1" customWidth="1"/>
    <col min="13316" max="13567" width="9.140625" style="1"/>
    <col min="13568" max="13568" width="33.140625" style="1" customWidth="1"/>
    <col min="13569" max="13569" width="13.85546875" style="1" customWidth="1"/>
    <col min="13570" max="13571" width="14.7109375" style="1" customWidth="1"/>
    <col min="13572" max="13823" width="9.140625" style="1"/>
    <col min="13824" max="13824" width="33.140625" style="1" customWidth="1"/>
    <col min="13825" max="13825" width="13.85546875" style="1" customWidth="1"/>
    <col min="13826" max="13827" width="14.7109375" style="1" customWidth="1"/>
    <col min="13828" max="14079" width="9.140625" style="1"/>
    <col min="14080" max="14080" width="33.140625" style="1" customWidth="1"/>
    <col min="14081" max="14081" width="13.85546875" style="1" customWidth="1"/>
    <col min="14082" max="14083" width="14.7109375" style="1" customWidth="1"/>
    <col min="14084" max="14335" width="9.140625" style="1"/>
    <col min="14336" max="14336" width="33.140625" style="1" customWidth="1"/>
    <col min="14337" max="14337" width="13.85546875" style="1" customWidth="1"/>
    <col min="14338" max="14339" width="14.7109375" style="1" customWidth="1"/>
    <col min="14340" max="14591" width="9.140625" style="1"/>
    <col min="14592" max="14592" width="33.140625" style="1" customWidth="1"/>
    <col min="14593" max="14593" width="13.85546875" style="1" customWidth="1"/>
    <col min="14594" max="14595" width="14.7109375" style="1" customWidth="1"/>
    <col min="14596" max="14847" width="9.140625" style="1"/>
    <col min="14848" max="14848" width="33.140625" style="1" customWidth="1"/>
    <col min="14849" max="14849" width="13.85546875" style="1" customWidth="1"/>
    <col min="14850" max="14851" width="14.7109375" style="1" customWidth="1"/>
    <col min="14852" max="15103" width="9.140625" style="1"/>
    <col min="15104" max="15104" width="33.140625" style="1" customWidth="1"/>
    <col min="15105" max="15105" width="13.85546875" style="1" customWidth="1"/>
    <col min="15106" max="15107" width="14.7109375" style="1" customWidth="1"/>
    <col min="15108" max="15359" width="9.140625" style="1"/>
    <col min="15360" max="15360" width="33.140625" style="1" customWidth="1"/>
    <col min="15361" max="15361" width="13.85546875" style="1" customWidth="1"/>
    <col min="15362" max="15363" width="14.7109375" style="1" customWidth="1"/>
    <col min="15364" max="15615" width="9.140625" style="1"/>
    <col min="15616" max="15616" width="33.140625" style="1" customWidth="1"/>
    <col min="15617" max="15617" width="13.85546875" style="1" customWidth="1"/>
    <col min="15618" max="15619" width="14.7109375" style="1" customWidth="1"/>
    <col min="15620" max="15871" width="9.140625" style="1"/>
    <col min="15872" max="15872" width="33.140625" style="1" customWidth="1"/>
    <col min="15873" max="15873" width="13.85546875" style="1" customWidth="1"/>
    <col min="15874" max="15875" width="14.7109375" style="1" customWidth="1"/>
    <col min="15876" max="16127" width="9.140625" style="1"/>
    <col min="16128" max="16128" width="33.140625" style="1" customWidth="1"/>
    <col min="16129" max="16129" width="13.85546875" style="1" customWidth="1"/>
    <col min="16130" max="16131" width="14.7109375" style="1" customWidth="1"/>
    <col min="16132" max="16384" width="9.140625" style="1"/>
  </cols>
  <sheetData>
    <row r="1" spans="1:14" ht="18">
      <c r="B1" s="29"/>
      <c r="C1" s="16"/>
      <c r="D1" s="353"/>
      <c r="E1" s="16"/>
      <c r="F1" s="16"/>
      <c r="G1" s="16"/>
      <c r="H1" s="1308" t="s">
        <v>812</v>
      </c>
      <c r="I1" s="1309"/>
      <c r="J1" s="316"/>
    </row>
    <row r="2" spans="1:14" ht="9.75" customHeight="1">
      <c r="B2" s="29"/>
      <c r="C2" s="16"/>
      <c r="D2" s="353"/>
      <c r="E2" s="16"/>
      <c r="F2" s="16"/>
      <c r="G2" s="16"/>
      <c r="H2" s="300"/>
      <c r="I2" s="301"/>
    </row>
    <row r="3" spans="1:14" ht="36" customHeight="1">
      <c r="B3" s="1645" t="s">
        <v>916</v>
      </c>
      <c r="C3" s="1645"/>
      <c r="D3" s="1645"/>
      <c r="E3" s="1645"/>
      <c r="F3" s="1645"/>
      <c r="G3" s="1645"/>
      <c r="H3" s="1645"/>
      <c r="I3" s="1645"/>
    </row>
    <row r="4" spans="1:14" ht="17.25" customHeight="1">
      <c r="B4" s="323"/>
      <c r="C4" s="324"/>
      <c r="D4" s="354"/>
      <c r="E4" s="324"/>
      <c r="F4" s="324"/>
      <c r="G4" s="324"/>
      <c r="H4" s="324"/>
      <c r="I4" s="324"/>
    </row>
    <row r="5" spans="1:14" ht="18" customHeight="1">
      <c r="A5" s="187" t="s">
        <v>1518</v>
      </c>
      <c r="B5" s="187"/>
      <c r="C5" s="321"/>
      <c r="D5" s="355"/>
      <c r="E5" s="321"/>
      <c r="F5" s="321"/>
      <c r="G5" s="321"/>
      <c r="H5" s="321"/>
      <c r="I5" s="321"/>
    </row>
    <row r="6" spans="1:14" ht="6.75" customHeight="1">
      <c r="B6" s="469"/>
      <c r="C6" s="322"/>
      <c r="D6" s="356"/>
      <c r="E6" s="322"/>
      <c r="F6" s="322"/>
      <c r="G6" s="322"/>
      <c r="H6" s="322"/>
      <c r="I6" s="322"/>
    </row>
    <row r="7" spans="1:14" s="184" customFormat="1" ht="23.25" customHeight="1">
      <c r="A7" s="1646" t="s">
        <v>906</v>
      </c>
      <c r="B7" s="1646" t="s">
        <v>905</v>
      </c>
      <c r="C7" s="1654" t="s">
        <v>917</v>
      </c>
      <c r="D7" s="1655"/>
      <c r="E7" s="1655"/>
      <c r="F7" s="1656"/>
      <c r="G7" s="1657" t="s">
        <v>943</v>
      </c>
      <c r="H7" s="1658"/>
      <c r="I7" s="1659"/>
      <c r="J7" s="299"/>
      <c r="L7" s="1642" t="s">
        <v>909</v>
      </c>
      <c r="M7" s="1643"/>
      <c r="N7" s="1644"/>
    </row>
    <row r="8" spans="1:14" s="184" customFormat="1" ht="39" customHeight="1">
      <c r="A8" s="1647"/>
      <c r="B8" s="1647"/>
      <c r="C8" s="465" t="s">
        <v>919</v>
      </c>
      <c r="D8" s="477" t="s">
        <v>980</v>
      </c>
      <c r="E8" s="477" t="s">
        <v>994</v>
      </c>
      <c r="F8" s="477" t="s">
        <v>1226</v>
      </c>
      <c r="G8" s="1660"/>
      <c r="H8" s="1661"/>
      <c r="I8" s="1662"/>
      <c r="J8" s="299"/>
      <c r="L8" s="468" t="s">
        <v>907</v>
      </c>
      <c r="M8" s="468" t="s">
        <v>908</v>
      </c>
      <c r="N8" s="467" t="s">
        <v>136</v>
      </c>
    </row>
    <row r="9" spans="1:14" ht="18.95" customHeight="1">
      <c r="A9" s="739">
        <v>1</v>
      </c>
      <c r="B9" s="740" t="s">
        <v>1332</v>
      </c>
      <c r="C9" s="741" t="s">
        <v>1333</v>
      </c>
      <c r="D9" s="470" t="s">
        <v>159</v>
      </c>
      <c r="E9" s="1028" t="s">
        <v>1611</v>
      </c>
      <c r="F9" s="360"/>
      <c r="G9" s="1663"/>
      <c r="H9" s="1664"/>
      <c r="I9" s="1665"/>
    </row>
    <row r="10" spans="1:14" ht="18.95" customHeight="1">
      <c r="A10" s="742">
        <v>2</v>
      </c>
      <c r="B10" s="473" t="s">
        <v>1334</v>
      </c>
      <c r="C10" s="743" t="s">
        <v>1335</v>
      </c>
      <c r="D10" s="1027" t="s">
        <v>1333</v>
      </c>
      <c r="E10" s="1027" t="s">
        <v>1612</v>
      </c>
      <c r="F10" s="1027" t="s">
        <v>1333</v>
      </c>
      <c r="G10" s="1639"/>
      <c r="H10" s="1640"/>
      <c r="I10" s="1641"/>
    </row>
    <row r="11" spans="1:14" ht="18.95" customHeight="1">
      <c r="A11" s="742">
        <v>3</v>
      </c>
      <c r="B11" s="473" t="s">
        <v>1336</v>
      </c>
      <c r="C11" s="743" t="s">
        <v>1333</v>
      </c>
      <c r="D11" s="1027" t="s">
        <v>1611</v>
      </c>
      <c r="E11" s="1027" t="s">
        <v>1611</v>
      </c>
      <c r="F11" s="1027" t="s">
        <v>1613</v>
      </c>
      <c r="G11" s="1639"/>
      <c r="H11" s="1640"/>
      <c r="I11" s="1641"/>
    </row>
    <row r="12" spans="1:14" ht="18.95" customHeight="1">
      <c r="A12" s="742">
        <v>4</v>
      </c>
      <c r="B12" s="473" t="s">
        <v>1337</v>
      </c>
      <c r="C12" s="743" t="s">
        <v>1338</v>
      </c>
      <c r="D12" s="1027" t="s">
        <v>1333</v>
      </c>
      <c r="E12" s="1027" t="s">
        <v>1333</v>
      </c>
      <c r="F12" s="1027" t="s">
        <v>1611</v>
      </c>
      <c r="G12" s="1639"/>
      <c r="H12" s="1640"/>
      <c r="I12" s="1641"/>
    </row>
    <row r="13" spans="1:14" ht="18.95" customHeight="1">
      <c r="A13" s="742">
        <v>5</v>
      </c>
      <c r="B13" s="473" t="s">
        <v>1339</v>
      </c>
      <c r="C13" s="743" t="s">
        <v>1338</v>
      </c>
      <c r="D13" s="1027" t="s">
        <v>1613</v>
      </c>
      <c r="E13" s="1027" t="s">
        <v>1614</v>
      </c>
      <c r="F13" s="1027" t="s">
        <v>1611</v>
      </c>
      <c r="G13" s="1639"/>
      <c r="H13" s="1640"/>
      <c r="I13" s="1641"/>
    </row>
    <row r="14" spans="1:14" ht="18.95" customHeight="1">
      <c r="A14" s="471">
        <v>6</v>
      </c>
      <c r="B14" s="364"/>
      <c r="C14" s="365"/>
      <c r="D14" s="365"/>
      <c r="E14" s="365"/>
      <c r="F14" s="365"/>
      <c r="G14" s="1639"/>
      <c r="H14" s="1640"/>
      <c r="I14" s="1641"/>
    </row>
    <row r="15" spans="1:14" ht="18.95" customHeight="1">
      <c r="A15" s="471">
        <v>7</v>
      </c>
      <c r="B15" s="364"/>
      <c r="C15" s="365"/>
      <c r="D15" s="365"/>
      <c r="E15" s="365"/>
      <c r="F15" s="365"/>
      <c r="G15" s="1639"/>
      <c r="H15" s="1640"/>
      <c r="I15" s="1641"/>
    </row>
    <row r="16" spans="1:14" ht="18.95" customHeight="1">
      <c r="A16" s="471">
        <v>8</v>
      </c>
      <c r="B16" s="364"/>
      <c r="C16" s="365"/>
      <c r="D16" s="365"/>
      <c r="E16" s="365"/>
      <c r="F16" s="365"/>
      <c r="G16" s="1639"/>
      <c r="H16" s="1640"/>
      <c r="I16" s="1641"/>
    </row>
    <row r="17" spans="1:9" ht="18.95" customHeight="1">
      <c r="A17" s="471">
        <v>9</v>
      </c>
      <c r="B17" s="364"/>
      <c r="C17" s="365"/>
      <c r="D17" s="365"/>
      <c r="E17" s="365"/>
      <c r="F17" s="365"/>
      <c r="G17" s="1639"/>
      <c r="H17" s="1640"/>
      <c r="I17" s="1641"/>
    </row>
    <row r="18" spans="1:9" ht="18.95" customHeight="1">
      <c r="A18" s="472">
        <v>10</v>
      </c>
      <c r="B18" s="439"/>
      <c r="C18" s="440"/>
      <c r="D18" s="440"/>
      <c r="E18" s="440"/>
      <c r="F18" s="440"/>
      <c r="G18" s="1651"/>
      <c r="H18" s="1652"/>
      <c r="I18" s="1653"/>
    </row>
    <row r="19" spans="1:9" ht="15.75" customHeight="1">
      <c r="A19" s="1648"/>
      <c r="B19" s="1649"/>
      <c r="C19" s="1649"/>
      <c r="D19" s="1649"/>
      <c r="E19" s="1649"/>
      <c r="F19" s="1649"/>
      <c r="G19" s="1649"/>
      <c r="H19" s="1649"/>
      <c r="I19" s="1650"/>
    </row>
    <row r="20" spans="1:9" ht="30.75" customHeight="1">
      <c r="A20" s="1638" t="s">
        <v>906</v>
      </c>
      <c r="B20" s="1638" t="s">
        <v>1008</v>
      </c>
      <c r="C20" s="1638" t="s">
        <v>911</v>
      </c>
      <c r="D20" s="1642" t="s">
        <v>1233</v>
      </c>
      <c r="E20" s="1643"/>
      <c r="F20" s="1644"/>
      <c r="G20" s="1642" t="s">
        <v>1234</v>
      </c>
      <c r="H20" s="1643"/>
      <c r="I20" s="1644"/>
    </row>
    <row r="21" spans="1:9" ht="42.75" customHeight="1">
      <c r="A21" s="1638"/>
      <c r="B21" s="1638"/>
      <c r="C21" s="1638"/>
      <c r="D21" s="466" t="s">
        <v>912</v>
      </c>
      <c r="E21" s="466" t="s">
        <v>918</v>
      </c>
      <c r="F21" s="466" t="s">
        <v>913</v>
      </c>
      <c r="G21" s="466" t="s">
        <v>912</v>
      </c>
      <c r="H21" s="466" t="s">
        <v>918</v>
      </c>
      <c r="I21" s="466" t="s">
        <v>913</v>
      </c>
    </row>
    <row r="22" spans="1:9" ht="11.25" customHeight="1">
      <c r="A22" s="1629"/>
      <c r="B22" s="1630"/>
      <c r="C22" s="1630"/>
      <c r="D22" s="1630"/>
      <c r="E22" s="1630"/>
      <c r="F22" s="1630"/>
      <c r="G22" s="1630"/>
      <c r="H22" s="1630"/>
      <c r="I22" s="1631"/>
    </row>
    <row r="23" spans="1:9" ht="20.100000000000001" customHeight="1">
      <c r="A23" s="1623" t="s">
        <v>915</v>
      </c>
      <c r="B23" s="1624"/>
      <c r="C23" s="1624"/>
      <c r="D23" s="1624"/>
      <c r="E23" s="1624"/>
      <c r="F23" s="1624"/>
      <c r="G23" s="1624"/>
      <c r="H23" s="1624"/>
      <c r="I23" s="1625"/>
    </row>
    <row r="24" spans="1:9" ht="18.95" customHeight="1">
      <c r="A24" s="471">
        <v>1</v>
      </c>
      <c r="B24" s="473" t="s">
        <v>1604</v>
      </c>
      <c r="C24" s="1027" t="s">
        <v>1605</v>
      </c>
      <c r="D24" s="1027" t="s">
        <v>1606</v>
      </c>
      <c r="E24" s="1027" t="s">
        <v>1607</v>
      </c>
      <c r="F24" s="1027" t="s">
        <v>1608</v>
      </c>
      <c r="G24" s="1027" t="s">
        <v>1606</v>
      </c>
      <c r="H24" s="1027" t="s">
        <v>1607</v>
      </c>
      <c r="I24" s="1027" t="s">
        <v>1608</v>
      </c>
    </row>
    <row r="25" spans="1:9" ht="18.95" customHeight="1">
      <c r="A25" s="478">
        <v>2</v>
      </c>
      <c r="B25" s="474"/>
      <c r="C25" s="365"/>
      <c r="D25" s="365"/>
      <c r="E25" s="365"/>
      <c r="F25" s="365"/>
      <c r="G25" s="365"/>
      <c r="H25" s="367"/>
      <c r="I25" s="368"/>
    </row>
    <row r="26" spans="1:9" ht="18.95" customHeight="1">
      <c r="A26" s="471">
        <v>3</v>
      </c>
      <c r="B26" s="364"/>
      <c r="C26" s="365"/>
      <c r="D26" s="365"/>
      <c r="E26" s="365"/>
      <c r="F26" s="365"/>
      <c r="G26" s="365"/>
      <c r="H26" s="367"/>
      <c r="I26" s="368"/>
    </row>
    <row r="27" spans="1:9" ht="18.95" customHeight="1">
      <c r="A27" s="471">
        <v>4</v>
      </c>
      <c r="B27" s="364"/>
      <c r="C27" s="365"/>
      <c r="D27" s="365"/>
      <c r="E27" s="365"/>
      <c r="F27" s="365"/>
      <c r="G27" s="365"/>
      <c r="H27" s="367"/>
      <c r="I27" s="368"/>
    </row>
    <row r="28" spans="1:9" ht="9.75" customHeight="1">
      <c r="A28" s="1632"/>
      <c r="B28" s="1633"/>
      <c r="C28" s="1633"/>
      <c r="D28" s="1633"/>
      <c r="E28" s="1633"/>
      <c r="F28" s="1633"/>
      <c r="G28" s="1633"/>
      <c r="H28" s="1633"/>
      <c r="I28" s="1634"/>
    </row>
    <row r="29" spans="1:9" ht="20.100000000000001" customHeight="1">
      <c r="A29" s="1626" t="s">
        <v>776</v>
      </c>
      <c r="B29" s="1627"/>
      <c r="C29" s="1627"/>
      <c r="D29" s="1627"/>
      <c r="E29" s="1627"/>
      <c r="F29" s="1627"/>
      <c r="G29" s="1627"/>
      <c r="H29" s="1627"/>
      <c r="I29" s="1628"/>
    </row>
    <row r="30" spans="1:9" ht="18.95" customHeight="1">
      <c r="A30" s="471">
        <v>1</v>
      </c>
      <c r="B30" s="473" t="s">
        <v>1609</v>
      </c>
      <c r="C30" s="1027" t="s">
        <v>1605</v>
      </c>
      <c r="D30" s="1027" t="s">
        <v>1606</v>
      </c>
      <c r="E30" s="1027" t="s">
        <v>1607</v>
      </c>
      <c r="F30" s="1027" t="s">
        <v>1608</v>
      </c>
      <c r="G30" s="1027" t="s">
        <v>1606</v>
      </c>
      <c r="H30" s="1027" t="s">
        <v>1607</v>
      </c>
      <c r="I30" s="1027" t="s">
        <v>1608</v>
      </c>
    </row>
    <row r="31" spans="1:9" ht="18.95" customHeight="1">
      <c r="A31" s="471">
        <v>2</v>
      </c>
      <c r="B31" s="364"/>
      <c r="C31" s="365"/>
      <c r="D31" s="365"/>
      <c r="E31" s="365"/>
      <c r="F31" s="365"/>
      <c r="G31" s="365"/>
      <c r="H31" s="367"/>
      <c r="I31" s="368"/>
    </row>
    <row r="32" spans="1:9" ht="18.95" customHeight="1">
      <c r="A32" s="471">
        <v>3</v>
      </c>
      <c r="B32" s="364"/>
      <c r="C32" s="365"/>
      <c r="D32" s="365"/>
      <c r="E32" s="365"/>
      <c r="F32" s="365"/>
      <c r="G32" s="365"/>
      <c r="H32" s="367"/>
      <c r="I32" s="368"/>
    </row>
    <row r="33" spans="1:9" ht="18.95" customHeight="1">
      <c r="A33" s="475">
        <v>4</v>
      </c>
      <c r="B33" s="364"/>
      <c r="C33" s="365"/>
      <c r="D33" s="365"/>
      <c r="E33" s="365"/>
      <c r="F33" s="365"/>
      <c r="G33" s="365"/>
      <c r="H33" s="367"/>
      <c r="I33" s="368"/>
    </row>
    <row r="34" spans="1:9" ht="10.5" customHeight="1">
      <c r="A34" s="1635"/>
      <c r="B34" s="1636"/>
      <c r="C34" s="1636"/>
      <c r="D34" s="1636"/>
      <c r="E34" s="1636"/>
      <c r="F34" s="1636"/>
      <c r="G34" s="1636"/>
      <c r="H34" s="1636"/>
      <c r="I34" s="1637"/>
    </row>
    <row r="35" spans="1:9" ht="20.100000000000001" customHeight="1">
      <c r="A35" s="1623" t="s">
        <v>910</v>
      </c>
      <c r="B35" s="1624"/>
      <c r="C35" s="1624"/>
      <c r="D35" s="1624"/>
      <c r="E35" s="1624"/>
      <c r="F35" s="1624"/>
      <c r="G35" s="1624"/>
      <c r="H35" s="1624"/>
      <c r="I35" s="1625"/>
    </row>
    <row r="36" spans="1:9" ht="18.95" customHeight="1">
      <c r="A36" s="471">
        <v>1</v>
      </c>
      <c r="B36" s="473" t="s">
        <v>1610</v>
      </c>
      <c r="C36" s="1027" t="s">
        <v>1605</v>
      </c>
      <c r="D36" s="1027" t="s">
        <v>1606</v>
      </c>
      <c r="E36" s="1027" t="s">
        <v>1607</v>
      </c>
      <c r="F36" s="1027" t="s">
        <v>1608</v>
      </c>
      <c r="G36" s="1027" t="s">
        <v>1606</v>
      </c>
      <c r="H36" s="1027" t="s">
        <v>1607</v>
      </c>
      <c r="I36" s="1027" t="s">
        <v>1608</v>
      </c>
    </row>
    <row r="37" spans="1:9" ht="18.95" customHeight="1">
      <c r="A37" s="471">
        <v>2</v>
      </c>
      <c r="B37" s="364"/>
      <c r="C37" s="365"/>
      <c r="D37" s="365"/>
      <c r="E37" s="365"/>
      <c r="F37" s="365"/>
      <c r="G37" s="365"/>
      <c r="H37" s="367"/>
      <c r="I37" s="368"/>
    </row>
    <row r="38" spans="1:9" ht="18.95" customHeight="1">
      <c r="A38" s="471">
        <v>3</v>
      </c>
      <c r="B38" s="364"/>
      <c r="C38" s="365"/>
      <c r="D38" s="365"/>
      <c r="E38" s="365"/>
      <c r="F38" s="365"/>
      <c r="G38" s="365"/>
      <c r="H38" s="367"/>
      <c r="I38" s="368"/>
    </row>
    <row r="39" spans="1:9" ht="18.95" customHeight="1">
      <c r="A39" s="472">
        <v>4</v>
      </c>
      <c r="B39" s="439"/>
      <c r="C39" s="440"/>
      <c r="D39" s="440"/>
      <c r="E39" s="440"/>
      <c r="F39" s="440"/>
      <c r="G39" s="440"/>
      <c r="H39" s="442"/>
      <c r="I39" s="443"/>
    </row>
    <row r="40" spans="1:9" ht="20.100000000000001" customHeight="1"/>
    <row r="41" spans="1:9" ht="20.100000000000001" customHeight="1"/>
    <row r="42" spans="1:9" ht="20.100000000000001" customHeight="1">
      <c r="B42" s="476"/>
    </row>
    <row r="43" spans="1:9" ht="15" customHeight="1">
      <c r="A43" s="1622" t="s">
        <v>952</v>
      </c>
      <c r="B43" s="1622"/>
      <c r="C43" s="1622"/>
      <c r="G43" s="1622" t="s">
        <v>914</v>
      </c>
      <c r="H43" s="1622"/>
      <c r="I43" s="1622"/>
    </row>
    <row r="84" spans="6:6">
      <c r="F84" s="153"/>
    </row>
  </sheetData>
  <mergeCells count="31">
    <mergeCell ref="L7:N7"/>
    <mergeCell ref="H1:I1"/>
    <mergeCell ref="B3:I3"/>
    <mergeCell ref="A7:A8"/>
    <mergeCell ref="A19:I19"/>
    <mergeCell ref="G13:I13"/>
    <mergeCell ref="G14:I14"/>
    <mergeCell ref="G17:I17"/>
    <mergeCell ref="G18:I18"/>
    <mergeCell ref="B7:B8"/>
    <mergeCell ref="C7:F7"/>
    <mergeCell ref="G7:I8"/>
    <mergeCell ref="G9:I9"/>
    <mergeCell ref="G10:I10"/>
    <mergeCell ref="G11:I11"/>
    <mergeCell ref="B20:B21"/>
    <mergeCell ref="G12:I12"/>
    <mergeCell ref="A20:A21"/>
    <mergeCell ref="C20:C21"/>
    <mergeCell ref="D20:F20"/>
    <mergeCell ref="G20:I20"/>
    <mergeCell ref="G15:I15"/>
    <mergeCell ref="G16:I16"/>
    <mergeCell ref="A43:C43"/>
    <mergeCell ref="A23:I23"/>
    <mergeCell ref="A29:I29"/>
    <mergeCell ref="A22:I22"/>
    <mergeCell ref="A28:I28"/>
    <mergeCell ref="A34:I34"/>
    <mergeCell ref="G43:I43"/>
    <mergeCell ref="A35:I35"/>
  </mergeCells>
  <dataValidations disablePrompts="1" count="1">
    <dataValidation type="list" allowBlank="1" showInputMessage="1" showErrorMessage="1" sqref="J9">
      <formula1>#REF!</formula1>
    </dataValidation>
  </dataValidations>
  <printOptions horizontalCentered="1"/>
  <pageMargins left="0.5" right="0.5" top="0.5" bottom="0.25" header="0.5" footer="0.5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K110"/>
  <sheetViews>
    <sheetView view="pageBreakPreview" zoomScale="110" zoomScaleSheetLayoutView="110" workbookViewId="0">
      <selection activeCell="K10" sqref="K10"/>
    </sheetView>
  </sheetViews>
  <sheetFormatPr defaultRowHeight="12.75"/>
  <cols>
    <col min="1" max="1" width="33.140625" style="28" customWidth="1"/>
    <col min="2" max="2" width="10.7109375" style="1" customWidth="1"/>
    <col min="3" max="3" width="4.85546875" style="357" customWidth="1"/>
    <col min="4" max="4" width="11.140625" style="1" customWidth="1"/>
    <col min="5" max="6" width="8.7109375" style="1" customWidth="1"/>
    <col min="7" max="8" width="11.28515625" style="302" customWidth="1"/>
    <col min="9" max="9" width="10.7109375" style="1" customWidth="1"/>
    <col min="10" max="10" width="18.85546875" style="1" bestFit="1" customWidth="1"/>
    <col min="11" max="11" width="24.5703125" style="1" customWidth="1"/>
    <col min="12" max="259" width="9.140625" style="1"/>
    <col min="260" max="260" width="33.140625" style="1" customWidth="1"/>
    <col min="261" max="261" width="13.85546875" style="1" customWidth="1"/>
    <col min="262" max="263" width="14.7109375" style="1" customWidth="1"/>
    <col min="264" max="515" width="9.140625" style="1"/>
    <col min="516" max="516" width="33.140625" style="1" customWidth="1"/>
    <col min="517" max="517" width="13.85546875" style="1" customWidth="1"/>
    <col min="518" max="519" width="14.7109375" style="1" customWidth="1"/>
    <col min="520" max="771" width="9.140625" style="1"/>
    <col min="772" max="772" width="33.140625" style="1" customWidth="1"/>
    <col min="773" max="773" width="13.85546875" style="1" customWidth="1"/>
    <col min="774" max="775" width="14.7109375" style="1" customWidth="1"/>
    <col min="776" max="1027" width="9.140625" style="1"/>
    <col min="1028" max="1028" width="33.140625" style="1" customWidth="1"/>
    <col min="1029" max="1029" width="13.85546875" style="1" customWidth="1"/>
    <col min="1030" max="1031" width="14.7109375" style="1" customWidth="1"/>
    <col min="1032" max="1283" width="9.140625" style="1"/>
    <col min="1284" max="1284" width="33.140625" style="1" customWidth="1"/>
    <col min="1285" max="1285" width="13.85546875" style="1" customWidth="1"/>
    <col min="1286" max="1287" width="14.7109375" style="1" customWidth="1"/>
    <col min="1288" max="1539" width="9.140625" style="1"/>
    <col min="1540" max="1540" width="33.140625" style="1" customWidth="1"/>
    <col min="1541" max="1541" width="13.85546875" style="1" customWidth="1"/>
    <col min="1542" max="1543" width="14.7109375" style="1" customWidth="1"/>
    <col min="1544" max="1795" width="9.140625" style="1"/>
    <col min="1796" max="1796" width="33.140625" style="1" customWidth="1"/>
    <col min="1797" max="1797" width="13.85546875" style="1" customWidth="1"/>
    <col min="1798" max="1799" width="14.7109375" style="1" customWidth="1"/>
    <col min="1800" max="2051" width="9.140625" style="1"/>
    <col min="2052" max="2052" width="33.140625" style="1" customWidth="1"/>
    <col min="2053" max="2053" width="13.85546875" style="1" customWidth="1"/>
    <col min="2054" max="2055" width="14.7109375" style="1" customWidth="1"/>
    <col min="2056" max="2307" width="9.140625" style="1"/>
    <col min="2308" max="2308" width="33.140625" style="1" customWidth="1"/>
    <col min="2309" max="2309" width="13.85546875" style="1" customWidth="1"/>
    <col min="2310" max="2311" width="14.7109375" style="1" customWidth="1"/>
    <col min="2312" max="2563" width="9.140625" style="1"/>
    <col min="2564" max="2564" width="33.140625" style="1" customWidth="1"/>
    <col min="2565" max="2565" width="13.85546875" style="1" customWidth="1"/>
    <col min="2566" max="2567" width="14.7109375" style="1" customWidth="1"/>
    <col min="2568" max="2819" width="9.140625" style="1"/>
    <col min="2820" max="2820" width="33.140625" style="1" customWidth="1"/>
    <col min="2821" max="2821" width="13.85546875" style="1" customWidth="1"/>
    <col min="2822" max="2823" width="14.7109375" style="1" customWidth="1"/>
    <col min="2824" max="3075" width="9.140625" style="1"/>
    <col min="3076" max="3076" width="33.140625" style="1" customWidth="1"/>
    <col min="3077" max="3077" width="13.85546875" style="1" customWidth="1"/>
    <col min="3078" max="3079" width="14.7109375" style="1" customWidth="1"/>
    <col min="3080" max="3331" width="9.140625" style="1"/>
    <col min="3332" max="3332" width="33.140625" style="1" customWidth="1"/>
    <col min="3333" max="3333" width="13.85546875" style="1" customWidth="1"/>
    <col min="3334" max="3335" width="14.7109375" style="1" customWidth="1"/>
    <col min="3336" max="3587" width="9.140625" style="1"/>
    <col min="3588" max="3588" width="33.140625" style="1" customWidth="1"/>
    <col min="3589" max="3589" width="13.85546875" style="1" customWidth="1"/>
    <col min="3590" max="3591" width="14.7109375" style="1" customWidth="1"/>
    <col min="3592" max="3843" width="9.140625" style="1"/>
    <col min="3844" max="3844" width="33.140625" style="1" customWidth="1"/>
    <col min="3845" max="3845" width="13.85546875" style="1" customWidth="1"/>
    <col min="3846" max="3847" width="14.7109375" style="1" customWidth="1"/>
    <col min="3848" max="4099" width="9.140625" style="1"/>
    <col min="4100" max="4100" width="33.140625" style="1" customWidth="1"/>
    <col min="4101" max="4101" width="13.85546875" style="1" customWidth="1"/>
    <col min="4102" max="4103" width="14.7109375" style="1" customWidth="1"/>
    <col min="4104" max="4355" width="9.140625" style="1"/>
    <col min="4356" max="4356" width="33.140625" style="1" customWidth="1"/>
    <col min="4357" max="4357" width="13.85546875" style="1" customWidth="1"/>
    <col min="4358" max="4359" width="14.7109375" style="1" customWidth="1"/>
    <col min="4360" max="4611" width="9.140625" style="1"/>
    <col min="4612" max="4612" width="33.140625" style="1" customWidth="1"/>
    <col min="4613" max="4613" width="13.85546875" style="1" customWidth="1"/>
    <col min="4614" max="4615" width="14.7109375" style="1" customWidth="1"/>
    <col min="4616" max="4867" width="9.140625" style="1"/>
    <col min="4868" max="4868" width="33.140625" style="1" customWidth="1"/>
    <col min="4869" max="4869" width="13.85546875" style="1" customWidth="1"/>
    <col min="4870" max="4871" width="14.7109375" style="1" customWidth="1"/>
    <col min="4872" max="5123" width="9.140625" style="1"/>
    <col min="5124" max="5124" width="33.140625" style="1" customWidth="1"/>
    <col min="5125" max="5125" width="13.85546875" style="1" customWidth="1"/>
    <col min="5126" max="5127" width="14.7109375" style="1" customWidth="1"/>
    <col min="5128" max="5379" width="9.140625" style="1"/>
    <col min="5380" max="5380" width="33.140625" style="1" customWidth="1"/>
    <col min="5381" max="5381" width="13.85546875" style="1" customWidth="1"/>
    <col min="5382" max="5383" width="14.7109375" style="1" customWidth="1"/>
    <col min="5384" max="5635" width="9.140625" style="1"/>
    <col min="5636" max="5636" width="33.140625" style="1" customWidth="1"/>
    <col min="5637" max="5637" width="13.85546875" style="1" customWidth="1"/>
    <col min="5638" max="5639" width="14.7109375" style="1" customWidth="1"/>
    <col min="5640" max="5891" width="9.140625" style="1"/>
    <col min="5892" max="5892" width="33.140625" style="1" customWidth="1"/>
    <col min="5893" max="5893" width="13.85546875" style="1" customWidth="1"/>
    <col min="5894" max="5895" width="14.7109375" style="1" customWidth="1"/>
    <col min="5896" max="6147" width="9.140625" style="1"/>
    <col min="6148" max="6148" width="33.140625" style="1" customWidth="1"/>
    <col min="6149" max="6149" width="13.85546875" style="1" customWidth="1"/>
    <col min="6150" max="6151" width="14.7109375" style="1" customWidth="1"/>
    <col min="6152" max="6403" width="9.140625" style="1"/>
    <col min="6404" max="6404" width="33.140625" style="1" customWidth="1"/>
    <col min="6405" max="6405" width="13.85546875" style="1" customWidth="1"/>
    <col min="6406" max="6407" width="14.7109375" style="1" customWidth="1"/>
    <col min="6408" max="6659" width="9.140625" style="1"/>
    <col min="6660" max="6660" width="33.140625" style="1" customWidth="1"/>
    <col min="6661" max="6661" width="13.85546875" style="1" customWidth="1"/>
    <col min="6662" max="6663" width="14.7109375" style="1" customWidth="1"/>
    <col min="6664" max="6915" width="9.140625" style="1"/>
    <col min="6916" max="6916" width="33.140625" style="1" customWidth="1"/>
    <col min="6917" max="6917" width="13.85546875" style="1" customWidth="1"/>
    <col min="6918" max="6919" width="14.7109375" style="1" customWidth="1"/>
    <col min="6920" max="7171" width="9.140625" style="1"/>
    <col min="7172" max="7172" width="33.140625" style="1" customWidth="1"/>
    <col min="7173" max="7173" width="13.85546875" style="1" customWidth="1"/>
    <col min="7174" max="7175" width="14.7109375" style="1" customWidth="1"/>
    <col min="7176" max="7427" width="9.140625" style="1"/>
    <col min="7428" max="7428" width="33.140625" style="1" customWidth="1"/>
    <col min="7429" max="7429" width="13.85546875" style="1" customWidth="1"/>
    <col min="7430" max="7431" width="14.7109375" style="1" customWidth="1"/>
    <col min="7432" max="7683" width="9.140625" style="1"/>
    <col min="7684" max="7684" width="33.140625" style="1" customWidth="1"/>
    <col min="7685" max="7685" width="13.85546875" style="1" customWidth="1"/>
    <col min="7686" max="7687" width="14.7109375" style="1" customWidth="1"/>
    <col min="7688" max="7939" width="9.140625" style="1"/>
    <col min="7940" max="7940" width="33.140625" style="1" customWidth="1"/>
    <col min="7941" max="7941" width="13.85546875" style="1" customWidth="1"/>
    <col min="7942" max="7943" width="14.7109375" style="1" customWidth="1"/>
    <col min="7944" max="8195" width="9.140625" style="1"/>
    <col min="8196" max="8196" width="33.140625" style="1" customWidth="1"/>
    <col min="8197" max="8197" width="13.85546875" style="1" customWidth="1"/>
    <col min="8198" max="8199" width="14.7109375" style="1" customWidth="1"/>
    <col min="8200" max="8451" width="9.140625" style="1"/>
    <col min="8452" max="8452" width="33.140625" style="1" customWidth="1"/>
    <col min="8453" max="8453" width="13.85546875" style="1" customWidth="1"/>
    <col min="8454" max="8455" width="14.7109375" style="1" customWidth="1"/>
    <col min="8456" max="8707" width="9.140625" style="1"/>
    <col min="8708" max="8708" width="33.140625" style="1" customWidth="1"/>
    <col min="8709" max="8709" width="13.85546875" style="1" customWidth="1"/>
    <col min="8710" max="8711" width="14.7109375" style="1" customWidth="1"/>
    <col min="8712" max="8963" width="9.140625" style="1"/>
    <col min="8964" max="8964" width="33.140625" style="1" customWidth="1"/>
    <col min="8965" max="8965" width="13.85546875" style="1" customWidth="1"/>
    <col min="8966" max="8967" width="14.7109375" style="1" customWidth="1"/>
    <col min="8968" max="9219" width="9.140625" style="1"/>
    <col min="9220" max="9220" width="33.140625" style="1" customWidth="1"/>
    <col min="9221" max="9221" width="13.85546875" style="1" customWidth="1"/>
    <col min="9222" max="9223" width="14.7109375" style="1" customWidth="1"/>
    <col min="9224" max="9475" width="9.140625" style="1"/>
    <col min="9476" max="9476" width="33.140625" style="1" customWidth="1"/>
    <col min="9477" max="9477" width="13.85546875" style="1" customWidth="1"/>
    <col min="9478" max="9479" width="14.7109375" style="1" customWidth="1"/>
    <col min="9480" max="9731" width="9.140625" style="1"/>
    <col min="9732" max="9732" width="33.140625" style="1" customWidth="1"/>
    <col min="9733" max="9733" width="13.85546875" style="1" customWidth="1"/>
    <col min="9734" max="9735" width="14.7109375" style="1" customWidth="1"/>
    <col min="9736" max="9987" width="9.140625" style="1"/>
    <col min="9988" max="9988" width="33.140625" style="1" customWidth="1"/>
    <col min="9989" max="9989" width="13.85546875" style="1" customWidth="1"/>
    <col min="9990" max="9991" width="14.7109375" style="1" customWidth="1"/>
    <col min="9992" max="10243" width="9.140625" style="1"/>
    <col min="10244" max="10244" width="33.140625" style="1" customWidth="1"/>
    <col min="10245" max="10245" width="13.85546875" style="1" customWidth="1"/>
    <col min="10246" max="10247" width="14.7109375" style="1" customWidth="1"/>
    <col min="10248" max="10499" width="9.140625" style="1"/>
    <col min="10500" max="10500" width="33.140625" style="1" customWidth="1"/>
    <col min="10501" max="10501" width="13.85546875" style="1" customWidth="1"/>
    <col min="10502" max="10503" width="14.7109375" style="1" customWidth="1"/>
    <col min="10504" max="10755" width="9.140625" style="1"/>
    <col min="10756" max="10756" width="33.140625" style="1" customWidth="1"/>
    <col min="10757" max="10757" width="13.85546875" style="1" customWidth="1"/>
    <col min="10758" max="10759" width="14.7109375" style="1" customWidth="1"/>
    <col min="10760" max="11011" width="9.140625" style="1"/>
    <col min="11012" max="11012" width="33.140625" style="1" customWidth="1"/>
    <col min="11013" max="11013" width="13.85546875" style="1" customWidth="1"/>
    <col min="11014" max="11015" width="14.7109375" style="1" customWidth="1"/>
    <col min="11016" max="11267" width="9.140625" style="1"/>
    <col min="11268" max="11268" width="33.140625" style="1" customWidth="1"/>
    <col min="11269" max="11269" width="13.85546875" style="1" customWidth="1"/>
    <col min="11270" max="11271" width="14.7109375" style="1" customWidth="1"/>
    <col min="11272" max="11523" width="9.140625" style="1"/>
    <col min="11524" max="11524" width="33.140625" style="1" customWidth="1"/>
    <col min="11525" max="11525" width="13.85546875" style="1" customWidth="1"/>
    <col min="11526" max="11527" width="14.7109375" style="1" customWidth="1"/>
    <col min="11528" max="11779" width="9.140625" style="1"/>
    <col min="11780" max="11780" width="33.140625" style="1" customWidth="1"/>
    <col min="11781" max="11781" width="13.85546875" style="1" customWidth="1"/>
    <col min="11782" max="11783" width="14.7109375" style="1" customWidth="1"/>
    <col min="11784" max="12035" width="9.140625" style="1"/>
    <col min="12036" max="12036" width="33.140625" style="1" customWidth="1"/>
    <col min="12037" max="12037" width="13.85546875" style="1" customWidth="1"/>
    <col min="12038" max="12039" width="14.7109375" style="1" customWidth="1"/>
    <col min="12040" max="12291" width="9.140625" style="1"/>
    <col min="12292" max="12292" width="33.140625" style="1" customWidth="1"/>
    <col min="12293" max="12293" width="13.85546875" style="1" customWidth="1"/>
    <col min="12294" max="12295" width="14.7109375" style="1" customWidth="1"/>
    <col min="12296" max="12547" width="9.140625" style="1"/>
    <col min="12548" max="12548" width="33.140625" style="1" customWidth="1"/>
    <col min="12549" max="12549" width="13.85546875" style="1" customWidth="1"/>
    <col min="12550" max="12551" width="14.7109375" style="1" customWidth="1"/>
    <col min="12552" max="12803" width="9.140625" style="1"/>
    <col min="12804" max="12804" width="33.140625" style="1" customWidth="1"/>
    <col min="12805" max="12805" width="13.85546875" style="1" customWidth="1"/>
    <col min="12806" max="12807" width="14.7109375" style="1" customWidth="1"/>
    <col min="12808" max="13059" width="9.140625" style="1"/>
    <col min="13060" max="13060" width="33.140625" style="1" customWidth="1"/>
    <col min="13061" max="13061" width="13.85546875" style="1" customWidth="1"/>
    <col min="13062" max="13063" width="14.7109375" style="1" customWidth="1"/>
    <col min="13064" max="13315" width="9.140625" style="1"/>
    <col min="13316" max="13316" width="33.140625" style="1" customWidth="1"/>
    <col min="13317" max="13317" width="13.85546875" style="1" customWidth="1"/>
    <col min="13318" max="13319" width="14.7109375" style="1" customWidth="1"/>
    <col min="13320" max="13571" width="9.140625" style="1"/>
    <col min="13572" max="13572" width="33.140625" style="1" customWidth="1"/>
    <col min="13573" max="13573" width="13.85546875" style="1" customWidth="1"/>
    <col min="13574" max="13575" width="14.7109375" style="1" customWidth="1"/>
    <col min="13576" max="13827" width="9.140625" style="1"/>
    <col min="13828" max="13828" width="33.140625" style="1" customWidth="1"/>
    <col min="13829" max="13829" width="13.85546875" style="1" customWidth="1"/>
    <col min="13830" max="13831" width="14.7109375" style="1" customWidth="1"/>
    <col min="13832" max="14083" width="9.140625" style="1"/>
    <col min="14084" max="14084" width="33.140625" style="1" customWidth="1"/>
    <col min="14085" max="14085" width="13.85546875" style="1" customWidth="1"/>
    <col min="14086" max="14087" width="14.7109375" style="1" customWidth="1"/>
    <col min="14088" max="14339" width="9.140625" style="1"/>
    <col min="14340" max="14340" width="33.140625" style="1" customWidth="1"/>
    <col min="14341" max="14341" width="13.85546875" style="1" customWidth="1"/>
    <col min="14342" max="14343" width="14.7109375" style="1" customWidth="1"/>
    <col min="14344" max="14595" width="9.140625" style="1"/>
    <col min="14596" max="14596" width="33.140625" style="1" customWidth="1"/>
    <col min="14597" max="14597" width="13.85546875" style="1" customWidth="1"/>
    <col min="14598" max="14599" width="14.7109375" style="1" customWidth="1"/>
    <col min="14600" max="14851" width="9.140625" style="1"/>
    <col min="14852" max="14852" width="33.140625" style="1" customWidth="1"/>
    <col min="14853" max="14853" width="13.85546875" style="1" customWidth="1"/>
    <col min="14854" max="14855" width="14.7109375" style="1" customWidth="1"/>
    <col min="14856" max="15107" width="9.140625" style="1"/>
    <col min="15108" max="15108" width="33.140625" style="1" customWidth="1"/>
    <col min="15109" max="15109" width="13.85546875" style="1" customWidth="1"/>
    <col min="15110" max="15111" width="14.7109375" style="1" customWidth="1"/>
    <col min="15112" max="15363" width="9.140625" style="1"/>
    <col min="15364" max="15364" width="33.140625" style="1" customWidth="1"/>
    <col min="15365" max="15365" width="13.85546875" style="1" customWidth="1"/>
    <col min="15366" max="15367" width="14.7109375" style="1" customWidth="1"/>
    <col min="15368" max="15619" width="9.140625" style="1"/>
    <col min="15620" max="15620" width="33.140625" style="1" customWidth="1"/>
    <col min="15621" max="15621" width="13.85546875" style="1" customWidth="1"/>
    <col min="15622" max="15623" width="14.7109375" style="1" customWidth="1"/>
    <col min="15624" max="15875" width="9.140625" style="1"/>
    <col min="15876" max="15876" width="33.140625" style="1" customWidth="1"/>
    <col min="15877" max="15877" width="13.85546875" style="1" customWidth="1"/>
    <col min="15878" max="15879" width="14.7109375" style="1" customWidth="1"/>
    <col min="15880" max="16131" width="9.140625" style="1"/>
    <col min="16132" max="16132" width="33.140625" style="1" customWidth="1"/>
    <col min="16133" max="16133" width="13.85546875" style="1" customWidth="1"/>
    <col min="16134" max="16135" width="14.7109375" style="1" customWidth="1"/>
    <col min="16136" max="16384" width="9.140625" style="1"/>
  </cols>
  <sheetData>
    <row r="1" spans="1:11" ht="18">
      <c r="A1" s="29"/>
      <c r="B1" s="16"/>
      <c r="C1" s="353"/>
      <c r="D1" s="16"/>
      <c r="E1" s="16"/>
      <c r="F1" s="16"/>
      <c r="G1" s="1308" t="s">
        <v>286</v>
      </c>
      <c r="H1" s="1309"/>
      <c r="I1" s="316"/>
    </row>
    <row r="2" spans="1:11">
      <c r="A2" s="29"/>
      <c r="B2" s="16"/>
      <c r="C2" s="353"/>
      <c r="D2" s="16"/>
      <c r="E2" s="16"/>
      <c r="F2" s="16"/>
      <c r="G2" s="300"/>
      <c r="H2" s="301"/>
    </row>
    <row r="3" spans="1:11" ht="60" customHeight="1">
      <c r="A3" s="1669" t="s">
        <v>1228</v>
      </c>
      <c r="B3" s="1669"/>
      <c r="C3" s="1669"/>
      <c r="D3" s="1669"/>
      <c r="E3" s="1669"/>
      <c r="F3" s="1669"/>
      <c r="G3" s="1669"/>
      <c r="H3" s="1669"/>
    </row>
    <row r="4" spans="1:11" ht="24.95" customHeight="1">
      <c r="A4" s="323"/>
      <c r="B4" s="324"/>
      <c r="C4" s="354"/>
      <c r="D4" s="324"/>
      <c r="E4" s="324"/>
      <c r="F4" s="324"/>
      <c r="G4" s="324"/>
      <c r="H4" s="324"/>
    </row>
    <row r="5" spans="1:11" ht="18" customHeight="1">
      <c r="A5" s="916" t="s">
        <v>1519</v>
      </c>
      <c r="B5" s="321"/>
      <c r="C5" s="355"/>
      <c r="D5" s="321"/>
      <c r="E5" s="321"/>
      <c r="F5" s="321"/>
      <c r="G5" s="321"/>
      <c r="H5" s="321"/>
    </row>
    <row r="6" spans="1:11" ht="15.75" customHeight="1">
      <c r="A6" s="30"/>
      <c r="B6" s="322"/>
      <c r="C6" s="356"/>
      <c r="D6" s="322"/>
      <c r="E6" s="322"/>
      <c r="F6" s="322"/>
      <c r="G6" s="322"/>
      <c r="H6" s="322"/>
    </row>
    <row r="7" spans="1:11" s="184" customFormat="1" ht="39.75" customHeight="1">
      <c r="A7" s="1671" t="s">
        <v>800</v>
      </c>
      <c r="B7" s="1638" t="s">
        <v>972</v>
      </c>
      <c r="C7" s="1638"/>
      <c r="D7" s="1638"/>
      <c r="E7" s="1642" t="s">
        <v>859</v>
      </c>
      <c r="F7" s="1644"/>
      <c r="G7" s="1638" t="s">
        <v>802</v>
      </c>
      <c r="H7" s="1638"/>
      <c r="I7" s="299"/>
    </row>
    <row r="8" spans="1:11" s="184" customFormat="1" ht="24" customHeight="1">
      <c r="A8" s="1671"/>
      <c r="B8" s="1674" t="s">
        <v>971</v>
      </c>
      <c r="C8" s="1672" t="s">
        <v>962</v>
      </c>
      <c r="D8" s="1673"/>
      <c r="E8" s="1676" t="s">
        <v>801</v>
      </c>
      <c r="F8" s="1676" t="s">
        <v>803</v>
      </c>
      <c r="G8" s="1674" t="s">
        <v>981</v>
      </c>
      <c r="H8" s="1674" t="s">
        <v>863</v>
      </c>
      <c r="I8" s="299"/>
    </row>
    <row r="9" spans="1:11" s="184" customFormat="1" ht="28.5" customHeight="1">
      <c r="A9" s="1671"/>
      <c r="B9" s="1675"/>
      <c r="C9" s="352" t="s">
        <v>855</v>
      </c>
      <c r="D9" s="303" t="s">
        <v>856</v>
      </c>
      <c r="E9" s="1676"/>
      <c r="F9" s="1676"/>
      <c r="G9" s="1675"/>
      <c r="H9" s="1675"/>
      <c r="I9" s="299"/>
      <c r="J9" s="369" t="s">
        <v>864</v>
      </c>
      <c r="K9" s="369" t="s">
        <v>865</v>
      </c>
    </row>
    <row r="10" spans="1:11" ht="20.100000000000001" customHeight="1">
      <c r="A10" s="740" t="s">
        <v>1408</v>
      </c>
      <c r="B10" s="360"/>
      <c r="C10" s="361"/>
      <c r="D10" s="360"/>
      <c r="E10" s="360"/>
      <c r="F10" s="360">
        <v>2</v>
      </c>
      <c r="G10" s="362"/>
      <c r="H10" s="363"/>
      <c r="J10" s="370" t="s">
        <v>857</v>
      </c>
      <c r="K10" s="370"/>
    </row>
    <row r="11" spans="1:11" ht="20.100000000000001" customHeight="1">
      <c r="A11" s="473" t="s">
        <v>1409</v>
      </c>
      <c r="B11" s="365"/>
      <c r="C11" s="366"/>
      <c r="D11" s="365"/>
      <c r="E11" s="365"/>
      <c r="F11" s="365">
        <v>3</v>
      </c>
      <c r="G11" s="812"/>
      <c r="H11" s="368"/>
      <c r="J11" s="370" t="s">
        <v>858</v>
      </c>
      <c r="K11" s="370"/>
    </row>
    <row r="12" spans="1:11" ht="20.100000000000001" customHeight="1">
      <c r="A12" s="1666" t="s">
        <v>1447</v>
      </c>
      <c r="B12" s="1667"/>
      <c r="C12" s="1667"/>
      <c r="D12" s="1667"/>
      <c r="E12" s="1667"/>
      <c r="F12" s="1667"/>
      <c r="G12" s="1667"/>
      <c r="H12" s="1668"/>
      <c r="J12" s="371" t="s">
        <v>860</v>
      </c>
      <c r="K12" s="372"/>
    </row>
    <row r="13" spans="1:11" ht="20.100000000000001" customHeight="1">
      <c r="A13" s="473" t="s">
        <v>1448</v>
      </c>
      <c r="B13" s="365">
        <v>3</v>
      </c>
      <c r="C13" s="366"/>
      <c r="D13" s="365"/>
      <c r="E13" s="365"/>
      <c r="F13" s="365"/>
      <c r="G13" s="367"/>
      <c r="H13" s="368"/>
      <c r="J13" s="373" t="s">
        <v>861</v>
      </c>
      <c r="K13" s="372"/>
    </row>
    <row r="14" spans="1:11" ht="20.100000000000001" customHeight="1">
      <c r="A14" s="473" t="s">
        <v>1449</v>
      </c>
      <c r="B14" s="365"/>
      <c r="C14" s="366"/>
      <c r="D14" s="365"/>
      <c r="E14" s="365"/>
      <c r="F14" s="365"/>
      <c r="G14" s="367"/>
      <c r="H14" s="368"/>
      <c r="J14" s="373" t="s">
        <v>862</v>
      </c>
      <c r="K14" s="372"/>
    </row>
    <row r="15" spans="1:11" ht="20.100000000000001" customHeight="1">
      <c r="A15" s="473" t="s">
        <v>1450</v>
      </c>
      <c r="B15" s="365">
        <v>1</v>
      </c>
      <c r="C15" s="366"/>
      <c r="D15" s="365"/>
      <c r="E15" s="365"/>
      <c r="F15" s="365"/>
      <c r="G15" s="367"/>
      <c r="H15" s="368"/>
    </row>
    <row r="16" spans="1:11" ht="20.100000000000001" customHeight="1">
      <c r="A16" s="881" t="s">
        <v>1451</v>
      </c>
      <c r="B16" s="365">
        <v>6</v>
      </c>
      <c r="C16" s="366"/>
      <c r="D16" s="365"/>
      <c r="E16" s="365"/>
      <c r="F16" s="365"/>
      <c r="G16" s="367"/>
      <c r="H16" s="368"/>
    </row>
    <row r="17" spans="1:8" ht="20.100000000000001" customHeight="1">
      <c r="A17" s="473" t="s">
        <v>1452</v>
      </c>
      <c r="B17" s="365">
        <v>2</v>
      </c>
      <c r="C17" s="366"/>
      <c r="D17" s="365"/>
      <c r="E17" s="365"/>
      <c r="F17" s="365"/>
      <c r="G17" s="367"/>
      <c r="H17" s="368"/>
    </row>
    <row r="18" spans="1:8" ht="20.100000000000001" customHeight="1">
      <c r="A18" s="473" t="s">
        <v>1453</v>
      </c>
      <c r="B18" s="365"/>
      <c r="C18" s="366"/>
      <c r="D18" s="365"/>
      <c r="E18" s="365"/>
      <c r="F18" s="365"/>
      <c r="G18" s="367"/>
      <c r="H18" s="368"/>
    </row>
    <row r="19" spans="1:8" ht="20.100000000000001" customHeight="1">
      <c r="A19" s="1666" t="s">
        <v>1447</v>
      </c>
      <c r="B19" s="1667"/>
      <c r="C19" s="1667"/>
      <c r="D19" s="1667"/>
      <c r="E19" s="1667"/>
      <c r="F19" s="1667"/>
      <c r="G19" s="1667"/>
      <c r="H19" s="1668"/>
    </row>
    <row r="20" spans="1:8" ht="20.100000000000001" customHeight="1">
      <c r="A20" s="473" t="s">
        <v>1454</v>
      </c>
      <c r="B20" s="365">
        <v>3</v>
      </c>
      <c r="C20" s="366"/>
      <c r="D20" s="365"/>
      <c r="E20" s="365"/>
      <c r="F20" s="365"/>
      <c r="G20" s="367"/>
      <c r="H20" s="368"/>
    </row>
    <row r="21" spans="1:8" ht="20.100000000000001" customHeight="1">
      <c r="A21" s="473" t="s">
        <v>1455</v>
      </c>
      <c r="B21" s="365">
        <v>2</v>
      </c>
      <c r="C21" s="366"/>
      <c r="D21" s="365"/>
      <c r="E21" s="365"/>
      <c r="F21" s="365"/>
      <c r="G21" s="367"/>
      <c r="H21" s="368"/>
    </row>
    <row r="22" spans="1:8" ht="20.100000000000001" customHeight="1">
      <c r="A22" s="473" t="s">
        <v>1456</v>
      </c>
      <c r="B22" s="365">
        <v>2</v>
      </c>
      <c r="C22" s="366"/>
      <c r="D22" s="365"/>
      <c r="E22" s="365"/>
      <c r="F22" s="365"/>
      <c r="G22" s="367"/>
      <c r="H22" s="368"/>
    </row>
    <row r="23" spans="1:8" ht="20.100000000000001" customHeight="1">
      <c r="A23" s="473" t="s">
        <v>1457</v>
      </c>
      <c r="B23" s="365">
        <v>3</v>
      </c>
      <c r="C23" s="366"/>
      <c r="D23" s="365"/>
      <c r="E23" s="365"/>
      <c r="F23" s="365"/>
      <c r="G23" s="367"/>
      <c r="H23" s="368"/>
    </row>
    <row r="24" spans="1:8" ht="20.100000000000001" customHeight="1">
      <c r="A24" s="473" t="s">
        <v>1458</v>
      </c>
      <c r="B24" s="365">
        <v>2</v>
      </c>
      <c r="C24" s="366"/>
      <c r="D24" s="365"/>
      <c r="E24" s="365"/>
      <c r="F24" s="365"/>
      <c r="G24" s="367"/>
      <c r="H24" s="368"/>
    </row>
    <row r="25" spans="1:8" ht="20.100000000000001" customHeight="1">
      <c r="A25" s="473" t="s">
        <v>1459</v>
      </c>
      <c r="B25" s="365">
        <v>21</v>
      </c>
      <c r="C25" s="366"/>
      <c r="D25" s="365"/>
      <c r="E25" s="365"/>
      <c r="F25" s="365"/>
      <c r="G25" s="367"/>
      <c r="H25" s="368"/>
    </row>
    <row r="26" spans="1:8" ht="20.100000000000001" customHeight="1">
      <c r="A26" s="473" t="s">
        <v>1407</v>
      </c>
      <c r="B26" s="365">
        <v>8</v>
      </c>
      <c r="C26" s="366"/>
      <c r="D26" s="365"/>
      <c r="E26" s="365"/>
      <c r="F26" s="365"/>
      <c r="G26" s="367"/>
      <c r="H26" s="368"/>
    </row>
    <row r="27" spans="1:8" ht="20.100000000000001" customHeight="1">
      <c r="A27" s="1666" t="s">
        <v>1476</v>
      </c>
      <c r="B27" s="1667"/>
      <c r="C27" s="1667"/>
      <c r="D27" s="1667"/>
      <c r="E27" s="1667"/>
      <c r="F27" s="1667"/>
      <c r="G27" s="1667"/>
      <c r="H27" s="1668"/>
    </row>
    <row r="28" spans="1:8" ht="29.25" customHeight="1">
      <c r="A28" s="881" t="s">
        <v>1460</v>
      </c>
      <c r="B28" s="365">
        <v>58</v>
      </c>
      <c r="C28" s="366"/>
      <c r="D28" s="365"/>
      <c r="E28" s="365"/>
      <c r="F28" s="365"/>
      <c r="G28" s="367"/>
      <c r="H28" s="368"/>
    </row>
    <row r="29" spans="1:8" ht="20.100000000000001" customHeight="1">
      <c r="A29" s="473" t="s">
        <v>1461</v>
      </c>
      <c r="B29" s="365">
        <v>47</v>
      </c>
      <c r="C29" s="366"/>
      <c r="D29" s="365"/>
      <c r="E29" s="365"/>
      <c r="F29" s="365"/>
      <c r="G29" s="367"/>
      <c r="H29" s="368"/>
    </row>
    <row r="30" spans="1:8" ht="20.100000000000001" customHeight="1">
      <c r="A30" s="473" t="s">
        <v>1409</v>
      </c>
      <c r="B30" s="365">
        <v>15</v>
      </c>
      <c r="C30" s="366"/>
      <c r="D30" s="365"/>
      <c r="E30" s="365"/>
      <c r="F30" s="365"/>
      <c r="G30" s="367"/>
      <c r="H30" s="368"/>
    </row>
    <row r="31" spans="1:8" ht="27.75" customHeight="1">
      <c r="A31" s="881" t="s">
        <v>1462</v>
      </c>
      <c r="B31" s="365">
        <v>68</v>
      </c>
      <c r="C31" s="366"/>
      <c r="D31" s="365"/>
      <c r="E31" s="365"/>
      <c r="F31" s="365"/>
      <c r="G31" s="367"/>
      <c r="H31" s="368"/>
    </row>
    <row r="32" spans="1:8" ht="20.100000000000001" customHeight="1">
      <c r="A32" s="473" t="s">
        <v>1463</v>
      </c>
      <c r="B32" s="365">
        <v>16</v>
      </c>
      <c r="C32" s="366"/>
      <c r="D32" s="365"/>
      <c r="E32" s="365"/>
      <c r="F32" s="365"/>
      <c r="G32" s="367"/>
      <c r="H32" s="368"/>
    </row>
    <row r="33" spans="1:8" ht="27" customHeight="1">
      <c r="A33" s="881" t="s">
        <v>1464</v>
      </c>
      <c r="B33" s="365">
        <v>7</v>
      </c>
      <c r="C33" s="366"/>
      <c r="D33" s="365"/>
      <c r="E33" s="365"/>
      <c r="F33" s="365"/>
      <c r="G33" s="367"/>
      <c r="H33" s="368"/>
    </row>
    <row r="34" spans="1:8" ht="20.100000000000001" customHeight="1">
      <c r="A34" s="473" t="s">
        <v>1465</v>
      </c>
      <c r="B34" s="365">
        <v>54</v>
      </c>
      <c r="C34" s="366"/>
      <c r="D34" s="365"/>
      <c r="E34" s="365"/>
      <c r="F34" s="365"/>
      <c r="G34" s="367"/>
      <c r="H34" s="368"/>
    </row>
    <row r="35" spans="1:8" ht="20.100000000000001" customHeight="1">
      <c r="A35" s="473" t="s">
        <v>1466</v>
      </c>
      <c r="B35" s="365">
        <v>24</v>
      </c>
      <c r="C35" s="366"/>
      <c r="D35" s="365"/>
      <c r="E35" s="365"/>
      <c r="F35" s="365"/>
      <c r="G35" s="367"/>
      <c r="H35" s="368"/>
    </row>
    <row r="36" spans="1:8" ht="20.100000000000001" customHeight="1">
      <c r="A36" s="473" t="s">
        <v>1467</v>
      </c>
      <c r="B36" s="365">
        <v>36</v>
      </c>
      <c r="C36" s="366"/>
      <c r="D36" s="365"/>
      <c r="E36" s="365"/>
      <c r="F36" s="365"/>
      <c r="G36" s="367"/>
      <c r="H36" s="368"/>
    </row>
    <row r="37" spans="1:8" ht="27" customHeight="1">
      <c r="A37" s="881" t="s">
        <v>1468</v>
      </c>
      <c r="B37" s="365">
        <v>22</v>
      </c>
      <c r="C37" s="366"/>
      <c r="D37" s="365"/>
      <c r="E37" s="365"/>
      <c r="F37" s="365"/>
      <c r="G37" s="367"/>
      <c r="H37" s="368"/>
    </row>
    <row r="38" spans="1:8" ht="20.100000000000001" customHeight="1">
      <c r="A38" s="473" t="s">
        <v>1469</v>
      </c>
      <c r="B38" s="365">
        <v>10</v>
      </c>
      <c r="C38" s="366"/>
      <c r="D38" s="365"/>
      <c r="E38" s="365"/>
      <c r="F38" s="365"/>
      <c r="G38" s="367"/>
      <c r="H38" s="368"/>
    </row>
    <row r="39" spans="1:8" ht="20.100000000000001" customHeight="1">
      <c r="A39" s="1666" t="s">
        <v>1475</v>
      </c>
      <c r="B39" s="1667"/>
      <c r="C39" s="1667"/>
      <c r="D39" s="1667"/>
      <c r="E39" s="1667"/>
      <c r="F39" s="1667"/>
      <c r="G39" s="1667"/>
      <c r="H39" s="1668"/>
    </row>
    <row r="40" spans="1:8" ht="30" customHeight="1">
      <c r="A40" s="881" t="s">
        <v>1470</v>
      </c>
      <c r="B40" s="365">
        <v>5</v>
      </c>
      <c r="C40" s="366"/>
      <c r="D40" s="365"/>
      <c r="E40" s="365"/>
      <c r="F40" s="365"/>
      <c r="G40" s="367"/>
      <c r="H40" s="368"/>
    </row>
    <row r="41" spans="1:8" ht="20.100000000000001" customHeight="1">
      <c r="A41" s="473" t="s">
        <v>1471</v>
      </c>
      <c r="B41" s="365">
        <v>10</v>
      </c>
      <c r="C41" s="366"/>
      <c r="D41" s="365"/>
      <c r="E41" s="365"/>
      <c r="F41" s="365"/>
      <c r="G41" s="367"/>
      <c r="H41" s="368"/>
    </row>
    <row r="42" spans="1:8" ht="28.5" customHeight="1">
      <c r="A42" s="881" t="s">
        <v>1472</v>
      </c>
      <c r="B42" s="365">
        <v>4</v>
      </c>
      <c r="C42" s="366"/>
      <c r="D42" s="365"/>
      <c r="E42" s="365"/>
      <c r="F42" s="365"/>
      <c r="G42" s="367"/>
      <c r="H42" s="368"/>
    </row>
    <row r="43" spans="1:8" ht="20.100000000000001" customHeight="1">
      <c r="A43" s="473" t="s">
        <v>1473</v>
      </c>
      <c r="B43" s="365">
        <v>5</v>
      </c>
      <c r="C43" s="366"/>
      <c r="D43" s="365"/>
      <c r="E43" s="365"/>
      <c r="F43" s="365"/>
      <c r="G43" s="367"/>
      <c r="H43" s="368"/>
    </row>
    <row r="44" spans="1:8" ht="20.100000000000001" customHeight="1">
      <c r="A44" s="473" t="s">
        <v>1474</v>
      </c>
      <c r="B44" s="365">
        <v>2</v>
      </c>
      <c r="C44" s="366"/>
      <c r="D44" s="365"/>
      <c r="E44" s="365"/>
      <c r="F44" s="365"/>
      <c r="G44" s="367"/>
      <c r="H44" s="368"/>
    </row>
    <row r="45" spans="1:8" ht="20.100000000000001" customHeight="1">
      <c r="A45" s="1666" t="s">
        <v>1477</v>
      </c>
      <c r="B45" s="1667"/>
      <c r="C45" s="1667"/>
      <c r="D45" s="1667"/>
      <c r="E45" s="1667"/>
      <c r="F45" s="1667"/>
      <c r="G45" s="1667"/>
      <c r="H45" s="1668"/>
    </row>
    <row r="46" spans="1:8" ht="20.100000000000001" customHeight="1">
      <c r="A46" s="473" t="s">
        <v>1478</v>
      </c>
      <c r="B46" s="365">
        <v>72</v>
      </c>
      <c r="C46" s="366"/>
      <c r="D46" s="365"/>
      <c r="E46" s="365"/>
      <c r="F46" s="365"/>
      <c r="G46" s="367"/>
      <c r="H46" s="368"/>
    </row>
    <row r="47" spans="1:8" ht="20.100000000000001" customHeight="1">
      <c r="A47" s="473" t="s">
        <v>1479</v>
      </c>
      <c r="B47" s="365">
        <v>7</v>
      </c>
      <c r="C47" s="366"/>
      <c r="D47" s="365"/>
      <c r="E47" s="365"/>
      <c r="F47" s="365"/>
      <c r="G47" s="367"/>
      <c r="H47" s="368"/>
    </row>
    <row r="48" spans="1:8" ht="20.100000000000001" customHeight="1">
      <c r="A48" s="473" t="s">
        <v>1480</v>
      </c>
      <c r="B48" s="365">
        <v>32</v>
      </c>
      <c r="C48" s="366"/>
      <c r="D48" s="365"/>
      <c r="E48" s="365"/>
      <c r="F48" s="365"/>
      <c r="G48" s="367"/>
      <c r="H48" s="368"/>
    </row>
    <row r="49" spans="1:8" ht="20.100000000000001" customHeight="1">
      <c r="A49" s="473" t="s">
        <v>1481</v>
      </c>
      <c r="B49" s="365">
        <v>28</v>
      </c>
      <c r="C49" s="366"/>
      <c r="D49" s="365"/>
      <c r="E49" s="365"/>
      <c r="F49" s="365"/>
      <c r="G49" s="367"/>
      <c r="H49" s="368"/>
    </row>
    <row r="50" spans="1:8" ht="20.100000000000001" customHeight="1">
      <c r="A50" s="473" t="s">
        <v>1482</v>
      </c>
      <c r="B50" s="365">
        <v>11</v>
      </c>
      <c r="C50" s="366"/>
      <c r="D50" s="365"/>
      <c r="E50" s="365"/>
      <c r="F50" s="365"/>
      <c r="G50" s="367"/>
      <c r="H50" s="368"/>
    </row>
    <row r="51" spans="1:8" ht="20.100000000000001" customHeight="1">
      <c r="A51" s="1666" t="s">
        <v>1483</v>
      </c>
      <c r="B51" s="1667"/>
      <c r="C51" s="1667"/>
      <c r="D51" s="1667"/>
      <c r="E51" s="1667"/>
      <c r="F51" s="1667"/>
      <c r="G51" s="1667"/>
      <c r="H51" s="1668"/>
    </row>
    <row r="52" spans="1:8" ht="20.100000000000001" customHeight="1">
      <c r="A52" s="473" t="s">
        <v>1484</v>
      </c>
      <c r="B52" s="365">
        <v>4</v>
      </c>
      <c r="C52" s="366"/>
      <c r="D52" s="365"/>
      <c r="E52" s="365"/>
      <c r="F52" s="365"/>
      <c r="G52" s="367"/>
      <c r="H52" s="368"/>
    </row>
    <row r="53" spans="1:8" ht="20.100000000000001" customHeight="1">
      <c r="A53" s="473" t="s">
        <v>1485</v>
      </c>
      <c r="B53" s="365">
        <v>13</v>
      </c>
      <c r="C53" s="366"/>
      <c r="D53" s="365"/>
      <c r="E53" s="365"/>
      <c r="F53" s="365"/>
      <c r="G53" s="367"/>
      <c r="H53" s="368"/>
    </row>
    <row r="54" spans="1:8" ht="20.100000000000001" customHeight="1">
      <c r="A54" s="473" t="s">
        <v>1486</v>
      </c>
      <c r="B54" s="365">
        <v>19</v>
      </c>
      <c r="C54" s="366"/>
      <c r="D54" s="365"/>
      <c r="E54" s="365"/>
      <c r="F54" s="365"/>
      <c r="G54" s="367"/>
      <c r="H54" s="368"/>
    </row>
    <row r="55" spans="1:8" ht="20.100000000000001" customHeight="1">
      <c r="A55" s="473" t="s">
        <v>1487</v>
      </c>
      <c r="B55" s="365">
        <v>19</v>
      </c>
      <c r="C55" s="366"/>
      <c r="D55" s="365"/>
      <c r="E55" s="365"/>
      <c r="F55" s="365"/>
      <c r="G55" s="367"/>
      <c r="H55" s="368"/>
    </row>
    <row r="56" spans="1:8" ht="20.100000000000001" customHeight="1">
      <c r="A56" s="473" t="s">
        <v>1488</v>
      </c>
      <c r="B56" s="365">
        <v>5</v>
      </c>
      <c r="C56" s="366"/>
      <c r="D56" s="365"/>
      <c r="E56" s="365"/>
      <c r="F56" s="365"/>
      <c r="G56" s="367"/>
      <c r="H56" s="368"/>
    </row>
    <row r="57" spans="1:8" ht="20.100000000000001" customHeight="1">
      <c r="A57" s="473" t="s">
        <v>1489</v>
      </c>
      <c r="B57" s="365">
        <v>13</v>
      </c>
      <c r="C57" s="366"/>
      <c r="D57" s="365"/>
      <c r="E57" s="365"/>
      <c r="F57" s="365"/>
      <c r="G57" s="367"/>
      <c r="H57" s="368"/>
    </row>
    <row r="58" spans="1:8" ht="20.100000000000001" customHeight="1">
      <c r="A58" s="473" t="s">
        <v>1490</v>
      </c>
      <c r="B58" s="365">
        <v>3</v>
      </c>
      <c r="C58" s="366"/>
      <c r="D58" s="365"/>
      <c r="E58" s="365"/>
      <c r="F58" s="365"/>
      <c r="G58" s="367"/>
      <c r="H58" s="368"/>
    </row>
    <row r="59" spans="1:8" ht="20.100000000000001" customHeight="1">
      <c r="A59" s="473" t="s">
        <v>1491</v>
      </c>
      <c r="B59" s="365"/>
      <c r="C59" s="366"/>
      <c r="D59" s="365"/>
      <c r="E59" s="365"/>
      <c r="F59" s="365"/>
      <c r="G59" s="367"/>
      <c r="H59" s="368"/>
    </row>
    <row r="60" spans="1:8" ht="20.100000000000001" customHeight="1">
      <c r="A60" s="473" t="s">
        <v>1492</v>
      </c>
      <c r="B60" s="365">
        <v>6</v>
      </c>
      <c r="C60" s="366"/>
      <c r="D60" s="365"/>
      <c r="E60" s="365"/>
      <c r="F60" s="365"/>
      <c r="G60" s="367"/>
      <c r="H60" s="368"/>
    </row>
    <row r="61" spans="1:8" ht="20.100000000000001" customHeight="1">
      <c r="A61" s="473" t="s">
        <v>1493</v>
      </c>
      <c r="B61" s="365">
        <v>1</v>
      </c>
      <c r="C61" s="366"/>
      <c r="D61" s="365"/>
      <c r="E61" s="365"/>
      <c r="F61" s="365"/>
      <c r="G61" s="367"/>
      <c r="H61" s="368"/>
    </row>
    <row r="62" spans="1:8" ht="20.100000000000001" customHeight="1">
      <c r="A62" s="473" t="s">
        <v>1494</v>
      </c>
      <c r="B62" s="365">
        <v>8</v>
      </c>
      <c r="C62" s="366"/>
      <c r="D62" s="365"/>
      <c r="E62" s="365"/>
      <c r="F62" s="365"/>
      <c r="G62" s="367"/>
      <c r="H62" s="368"/>
    </row>
    <row r="63" spans="1:8" ht="20.100000000000001" customHeight="1">
      <c r="A63" s="473" t="s">
        <v>1495</v>
      </c>
      <c r="B63" s="365">
        <v>3</v>
      </c>
      <c r="C63" s="366"/>
      <c r="D63" s="365"/>
      <c r="E63" s="365"/>
      <c r="F63" s="365"/>
      <c r="G63" s="367"/>
      <c r="H63" s="368"/>
    </row>
    <row r="64" spans="1:8" ht="20.100000000000001" customHeight="1">
      <c r="A64" s="439"/>
      <c r="B64" s="440"/>
      <c r="C64" s="441"/>
      <c r="D64" s="440"/>
      <c r="E64" s="440"/>
      <c r="F64" s="440"/>
      <c r="G64" s="442"/>
      <c r="H64" s="443"/>
    </row>
    <row r="65" spans="1:8" ht="21.75" customHeight="1">
      <c r="A65" s="444" t="s">
        <v>294</v>
      </c>
      <c r="B65" s="445">
        <f>SUM(B10:B64)</f>
        <v>680</v>
      </c>
      <c r="C65" s="446"/>
      <c r="D65" s="445">
        <f>SUM(D10:D64)</f>
        <v>0</v>
      </c>
      <c r="E65" s="445">
        <f>SUM(E10:E64)</f>
        <v>0</v>
      </c>
      <c r="F65" s="445">
        <f>SUM(F10:F64)</f>
        <v>5</v>
      </c>
      <c r="G65" s="445">
        <f>SUM(G10:G64)</f>
        <v>0</v>
      </c>
      <c r="H65" s="447">
        <f>SUM(H10:H64)</f>
        <v>0</v>
      </c>
    </row>
    <row r="66" spans="1:8" ht="20.100000000000001" customHeight="1">
      <c r="A66" s="28" t="s">
        <v>1422</v>
      </c>
    </row>
    <row r="67" spans="1:8" ht="20.100000000000001" customHeight="1"/>
    <row r="68" spans="1:8" ht="20.100000000000001" customHeight="1"/>
    <row r="69" spans="1:8" ht="15" customHeight="1">
      <c r="A69" s="325" t="s">
        <v>825</v>
      </c>
      <c r="F69" s="1670" t="s">
        <v>804</v>
      </c>
      <c r="G69" s="1670"/>
      <c r="H69" s="1670"/>
    </row>
    <row r="110" spans="5:5">
      <c r="E110" s="153"/>
    </row>
  </sheetData>
  <mergeCells count="19">
    <mergeCell ref="A12:H12"/>
    <mergeCell ref="A39:H39"/>
    <mergeCell ref="A45:H45"/>
    <mergeCell ref="A51:H51"/>
    <mergeCell ref="G1:H1"/>
    <mergeCell ref="A3:H3"/>
    <mergeCell ref="F69:H69"/>
    <mergeCell ref="B7:D7"/>
    <mergeCell ref="G7:H7"/>
    <mergeCell ref="E7:F7"/>
    <mergeCell ref="A7:A9"/>
    <mergeCell ref="C8:D8"/>
    <mergeCell ref="B8:B9"/>
    <mergeCell ref="E8:E9"/>
    <mergeCell ref="F8:F9"/>
    <mergeCell ref="G8:G9"/>
    <mergeCell ref="H8:H9"/>
    <mergeCell ref="A27:H27"/>
    <mergeCell ref="A19:H19"/>
  </mergeCells>
  <dataValidations disablePrompts="1" count="2">
    <dataValidation type="list" allowBlank="1" showInputMessage="1" showErrorMessage="1" sqref="C13:C18 C20:C26 C10:C11 C28:C38 C40:C44 C46:C50 C52:C64">
      <formula1>$J$12:$J$14</formula1>
    </dataValidation>
    <dataValidation type="list" allowBlank="1" showInputMessage="1" showErrorMessage="1" sqref="I10">
      <formula1>#REF!</formula1>
    </dataValidation>
  </dataValidations>
  <printOptions horizontalCentered="1"/>
  <pageMargins left="0.25" right="0.25" top="0.5" bottom="0.5" header="0.5" footer="0.5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XFD85"/>
  <sheetViews>
    <sheetView view="pageBreakPreview" zoomScaleSheetLayoutView="100" workbookViewId="0">
      <selection activeCell="D15" sqref="D15"/>
    </sheetView>
  </sheetViews>
  <sheetFormatPr defaultRowHeight="15"/>
  <cols>
    <col min="1" max="1" width="35.5703125" style="6" bestFit="1" customWidth="1"/>
    <col min="2" max="5" width="14.7109375" style="6" customWidth="1"/>
    <col min="41" max="258" width="9.140625" style="6"/>
    <col min="259" max="259" width="46.7109375" style="6" customWidth="1"/>
    <col min="260" max="261" width="22.7109375" style="6" customWidth="1"/>
    <col min="262" max="514" width="9.140625" style="6"/>
    <col min="515" max="515" width="46.7109375" style="6" customWidth="1"/>
    <col min="516" max="517" width="22.7109375" style="6" customWidth="1"/>
    <col min="518" max="770" width="9.140625" style="6"/>
    <col min="771" max="771" width="46.7109375" style="6" customWidth="1"/>
    <col min="772" max="773" width="22.7109375" style="6" customWidth="1"/>
    <col min="774" max="1026" width="9.140625" style="6"/>
    <col min="1027" max="1027" width="46.7109375" style="6" customWidth="1"/>
    <col min="1028" max="1029" width="22.7109375" style="6" customWidth="1"/>
    <col min="1030" max="1282" width="9.140625" style="6"/>
    <col min="1283" max="1283" width="46.7109375" style="6" customWidth="1"/>
    <col min="1284" max="1285" width="22.7109375" style="6" customWidth="1"/>
    <col min="1286" max="1538" width="9.140625" style="6"/>
    <col min="1539" max="1539" width="46.7109375" style="6" customWidth="1"/>
    <col min="1540" max="1541" width="22.7109375" style="6" customWidth="1"/>
    <col min="1542" max="1794" width="9.140625" style="6"/>
    <col min="1795" max="1795" width="46.7109375" style="6" customWidth="1"/>
    <col min="1796" max="1797" width="22.7109375" style="6" customWidth="1"/>
    <col min="1798" max="2050" width="9.140625" style="6"/>
    <col min="2051" max="2051" width="46.7109375" style="6" customWidth="1"/>
    <col min="2052" max="2053" width="22.7109375" style="6" customWidth="1"/>
    <col min="2054" max="2306" width="9.140625" style="6"/>
    <col min="2307" max="2307" width="46.7109375" style="6" customWidth="1"/>
    <col min="2308" max="2309" width="22.7109375" style="6" customWidth="1"/>
    <col min="2310" max="2562" width="9.140625" style="6"/>
    <col min="2563" max="2563" width="46.7109375" style="6" customWidth="1"/>
    <col min="2564" max="2565" width="22.7109375" style="6" customWidth="1"/>
    <col min="2566" max="2818" width="9.140625" style="6"/>
    <col min="2819" max="2819" width="46.7109375" style="6" customWidth="1"/>
    <col min="2820" max="2821" width="22.7109375" style="6" customWidth="1"/>
    <col min="2822" max="3074" width="9.140625" style="6"/>
    <col min="3075" max="3075" width="46.7109375" style="6" customWidth="1"/>
    <col min="3076" max="3077" width="22.7109375" style="6" customWidth="1"/>
    <col min="3078" max="3330" width="9.140625" style="6"/>
    <col min="3331" max="3331" width="46.7109375" style="6" customWidth="1"/>
    <col min="3332" max="3333" width="22.7109375" style="6" customWidth="1"/>
    <col min="3334" max="3586" width="9.140625" style="6"/>
    <col min="3587" max="3587" width="46.7109375" style="6" customWidth="1"/>
    <col min="3588" max="3589" width="22.7109375" style="6" customWidth="1"/>
    <col min="3590" max="3842" width="9.140625" style="6"/>
    <col min="3843" max="3843" width="46.7109375" style="6" customWidth="1"/>
    <col min="3844" max="3845" width="22.7109375" style="6" customWidth="1"/>
    <col min="3846" max="4098" width="9.140625" style="6"/>
    <col min="4099" max="4099" width="46.7109375" style="6" customWidth="1"/>
    <col min="4100" max="4101" width="22.7109375" style="6" customWidth="1"/>
    <col min="4102" max="4354" width="9.140625" style="6"/>
    <col min="4355" max="4355" width="46.7109375" style="6" customWidth="1"/>
    <col min="4356" max="4357" width="22.7109375" style="6" customWidth="1"/>
    <col min="4358" max="4610" width="9.140625" style="6"/>
    <col min="4611" max="4611" width="46.7109375" style="6" customWidth="1"/>
    <col min="4612" max="4613" width="22.7109375" style="6" customWidth="1"/>
    <col min="4614" max="4866" width="9.140625" style="6"/>
    <col min="4867" max="4867" width="46.7109375" style="6" customWidth="1"/>
    <col min="4868" max="4869" width="22.7109375" style="6" customWidth="1"/>
    <col min="4870" max="5122" width="9.140625" style="6"/>
    <col min="5123" max="5123" width="46.7109375" style="6" customWidth="1"/>
    <col min="5124" max="5125" width="22.7109375" style="6" customWidth="1"/>
    <col min="5126" max="5378" width="9.140625" style="6"/>
    <col min="5379" max="5379" width="46.7109375" style="6" customWidth="1"/>
    <col min="5380" max="5381" width="22.7109375" style="6" customWidth="1"/>
    <col min="5382" max="5634" width="9.140625" style="6"/>
    <col min="5635" max="5635" width="46.7109375" style="6" customWidth="1"/>
    <col min="5636" max="5637" width="22.7109375" style="6" customWidth="1"/>
    <col min="5638" max="5890" width="9.140625" style="6"/>
    <col min="5891" max="5891" width="46.7109375" style="6" customWidth="1"/>
    <col min="5892" max="5893" width="22.7109375" style="6" customWidth="1"/>
    <col min="5894" max="6146" width="9.140625" style="6"/>
    <col min="6147" max="6147" width="46.7109375" style="6" customWidth="1"/>
    <col min="6148" max="6149" width="22.7109375" style="6" customWidth="1"/>
    <col min="6150" max="6402" width="9.140625" style="6"/>
    <col min="6403" max="6403" width="46.7109375" style="6" customWidth="1"/>
    <col min="6404" max="6405" width="22.7109375" style="6" customWidth="1"/>
    <col min="6406" max="6658" width="9.140625" style="6"/>
    <col min="6659" max="6659" width="46.7109375" style="6" customWidth="1"/>
    <col min="6660" max="6661" width="22.7109375" style="6" customWidth="1"/>
    <col min="6662" max="6914" width="9.140625" style="6"/>
    <col min="6915" max="6915" width="46.7109375" style="6" customWidth="1"/>
    <col min="6916" max="6917" width="22.7109375" style="6" customWidth="1"/>
    <col min="6918" max="7170" width="9.140625" style="6"/>
    <col min="7171" max="7171" width="46.7109375" style="6" customWidth="1"/>
    <col min="7172" max="7173" width="22.7109375" style="6" customWidth="1"/>
    <col min="7174" max="7426" width="9.140625" style="6"/>
    <col min="7427" max="7427" width="46.7109375" style="6" customWidth="1"/>
    <col min="7428" max="7429" width="22.7109375" style="6" customWidth="1"/>
    <col min="7430" max="7682" width="9.140625" style="6"/>
    <col min="7683" max="7683" width="46.7109375" style="6" customWidth="1"/>
    <col min="7684" max="7685" width="22.7109375" style="6" customWidth="1"/>
    <col min="7686" max="7938" width="9.140625" style="6"/>
    <col min="7939" max="7939" width="46.7109375" style="6" customWidth="1"/>
    <col min="7940" max="7941" width="22.7109375" style="6" customWidth="1"/>
    <col min="7942" max="8194" width="9.140625" style="6"/>
    <col min="8195" max="8195" width="46.7109375" style="6" customWidth="1"/>
    <col min="8196" max="8197" width="22.7109375" style="6" customWidth="1"/>
    <col min="8198" max="8450" width="9.140625" style="6"/>
    <col min="8451" max="8451" width="46.7109375" style="6" customWidth="1"/>
    <col min="8452" max="8453" width="22.7109375" style="6" customWidth="1"/>
    <col min="8454" max="8706" width="9.140625" style="6"/>
    <col min="8707" max="8707" width="46.7109375" style="6" customWidth="1"/>
    <col min="8708" max="8709" width="22.7109375" style="6" customWidth="1"/>
    <col min="8710" max="8962" width="9.140625" style="6"/>
    <col min="8963" max="8963" width="46.7109375" style="6" customWidth="1"/>
    <col min="8964" max="8965" width="22.7109375" style="6" customWidth="1"/>
    <col min="8966" max="9218" width="9.140625" style="6"/>
    <col min="9219" max="9219" width="46.7109375" style="6" customWidth="1"/>
    <col min="9220" max="9221" width="22.7109375" style="6" customWidth="1"/>
    <col min="9222" max="9474" width="9.140625" style="6"/>
    <col min="9475" max="9475" width="46.7109375" style="6" customWidth="1"/>
    <col min="9476" max="9477" width="22.7109375" style="6" customWidth="1"/>
    <col min="9478" max="9730" width="9.140625" style="6"/>
    <col min="9731" max="9731" width="46.7109375" style="6" customWidth="1"/>
    <col min="9732" max="9733" width="22.7109375" style="6" customWidth="1"/>
    <col min="9734" max="9986" width="9.140625" style="6"/>
    <col min="9987" max="9987" width="46.7109375" style="6" customWidth="1"/>
    <col min="9988" max="9989" width="22.7109375" style="6" customWidth="1"/>
    <col min="9990" max="10242" width="9.140625" style="6"/>
    <col min="10243" max="10243" width="46.7109375" style="6" customWidth="1"/>
    <col min="10244" max="10245" width="22.7109375" style="6" customWidth="1"/>
    <col min="10246" max="10498" width="9.140625" style="6"/>
    <col min="10499" max="10499" width="46.7109375" style="6" customWidth="1"/>
    <col min="10500" max="10501" width="22.7109375" style="6" customWidth="1"/>
    <col min="10502" max="10754" width="9.140625" style="6"/>
    <col min="10755" max="10755" width="46.7109375" style="6" customWidth="1"/>
    <col min="10756" max="10757" width="22.7109375" style="6" customWidth="1"/>
    <col min="10758" max="11010" width="9.140625" style="6"/>
    <col min="11011" max="11011" width="46.7109375" style="6" customWidth="1"/>
    <col min="11012" max="11013" width="22.7109375" style="6" customWidth="1"/>
    <col min="11014" max="11266" width="9.140625" style="6"/>
    <col min="11267" max="11267" width="46.7109375" style="6" customWidth="1"/>
    <col min="11268" max="11269" width="22.7109375" style="6" customWidth="1"/>
    <col min="11270" max="11522" width="9.140625" style="6"/>
    <col min="11523" max="11523" width="46.7109375" style="6" customWidth="1"/>
    <col min="11524" max="11525" width="22.7109375" style="6" customWidth="1"/>
    <col min="11526" max="11778" width="9.140625" style="6"/>
    <col min="11779" max="11779" width="46.7109375" style="6" customWidth="1"/>
    <col min="11780" max="11781" width="22.7109375" style="6" customWidth="1"/>
    <col min="11782" max="12034" width="9.140625" style="6"/>
    <col min="12035" max="12035" width="46.7109375" style="6" customWidth="1"/>
    <col min="12036" max="12037" width="22.7109375" style="6" customWidth="1"/>
    <col min="12038" max="12290" width="9.140625" style="6"/>
    <col min="12291" max="12291" width="46.7109375" style="6" customWidth="1"/>
    <col min="12292" max="12293" width="22.7109375" style="6" customWidth="1"/>
    <col min="12294" max="12546" width="9.140625" style="6"/>
    <col min="12547" max="12547" width="46.7109375" style="6" customWidth="1"/>
    <col min="12548" max="12549" width="22.7109375" style="6" customWidth="1"/>
    <col min="12550" max="12802" width="9.140625" style="6"/>
    <col min="12803" max="12803" width="46.7109375" style="6" customWidth="1"/>
    <col min="12804" max="12805" width="22.7109375" style="6" customWidth="1"/>
    <col min="12806" max="13058" width="9.140625" style="6"/>
    <col min="13059" max="13059" width="46.7109375" style="6" customWidth="1"/>
    <col min="13060" max="13061" width="22.7109375" style="6" customWidth="1"/>
    <col min="13062" max="13314" width="9.140625" style="6"/>
    <col min="13315" max="13315" width="46.7109375" style="6" customWidth="1"/>
    <col min="13316" max="13317" width="22.7109375" style="6" customWidth="1"/>
    <col min="13318" max="13570" width="9.140625" style="6"/>
    <col min="13571" max="13571" width="46.7109375" style="6" customWidth="1"/>
    <col min="13572" max="13573" width="22.7109375" style="6" customWidth="1"/>
    <col min="13574" max="13826" width="9.140625" style="6"/>
    <col min="13827" max="13827" width="46.7109375" style="6" customWidth="1"/>
    <col min="13828" max="13829" width="22.7109375" style="6" customWidth="1"/>
    <col min="13830" max="14082" width="9.140625" style="6"/>
    <col min="14083" max="14083" width="46.7109375" style="6" customWidth="1"/>
    <col min="14084" max="14085" width="22.7109375" style="6" customWidth="1"/>
    <col min="14086" max="14338" width="9.140625" style="6"/>
    <col min="14339" max="14339" width="46.7109375" style="6" customWidth="1"/>
    <col min="14340" max="14341" width="22.7109375" style="6" customWidth="1"/>
    <col min="14342" max="14594" width="9.140625" style="6"/>
    <col min="14595" max="14595" width="46.7109375" style="6" customWidth="1"/>
    <col min="14596" max="14597" width="22.7109375" style="6" customWidth="1"/>
    <col min="14598" max="14850" width="9.140625" style="6"/>
    <col min="14851" max="14851" width="46.7109375" style="6" customWidth="1"/>
    <col min="14852" max="14853" width="22.7109375" style="6" customWidth="1"/>
    <col min="14854" max="15106" width="9.140625" style="6"/>
    <col min="15107" max="15107" width="46.7109375" style="6" customWidth="1"/>
    <col min="15108" max="15109" width="22.7109375" style="6" customWidth="1"/>
    <col min="15110" max="15362" width="9.140625" style="6"/>
    <col min="15363" max="15363" width="46.7109375" style="6" customWidth="1"/>
    <col min="15364" max="15365" width="22.7109375" style="6" customWidth="1"/>
    <col min="15366" max="15618" width="9.140625" style="6"/>
    <col min="15619" max="15619" width="46.7109375" style="6" customWidth="1"/>
    <col min="15620" max="15621" width="22.7109375" style="6" customWidth="1"/>
    <col min="15622" max="15874" width="9.140625" style="6"/>
    <col min="15875" max="15875" width="46.7109375" style="6" customWidth="1"/>
    <col min="15876" max="15877" width="22.7109375" style="6" customWidth="1"/>
    <col min="15878" max="16130" width="9.140625" style="6"/>
    <col min="16131" max="16131" width="46.7109375" style="6" customWidth="1"/>
    <col min="16132" max="16133" width="22.7109375" style="6" customWidth="1"/>
    <col min="16134" max="16384" width="9.140625" style="6"/>
  </cols>
  <sheetData>
    <row r="1" spans="1:40" ht="18">
      <c r="A1" s="32"/>
      <c r="B1" s="32"/>
      <c r="C1" s="32"/>
      <c r="D1" s="32"/>
      <c r="E1" s="555" t="s">
        <v>295</v>
      </c>
    </row>
    <row r="2" spans="1:40" ht="4.5" customHeight="1">
      <c r="A2" s="32"/>
      <c r="B2" s="32"/>
      <c r="C2" s="32"/>
      <c r="D2" s="32"/>
      <c r="E2" s="32"/>
    </row>
    <row r="3" spans="1:40" ht="18">
      <c r="A3" s="1679" t="s">
        <v>297</v>
      </c>
      <c r="B3" s="1679"/>
      <c r="C3" s="1679"/>
      <c r="D3" s="1679"/>
      <c r="E3" s="1679"/>
    </row>
    <row r="4" spans="1:40" ht="5.25" customHeight="1">
      <c r="A4" s="33"/>
      <c r="B4" s="34"/>
      <c r="C4" s="34"/>
      <c r="D4" s="34"/>
      <c r="E4" s="34"/>
    </row>
    <row r="5" spans="1:40">
      <c r="A5" s="33"/>
      <c r="B5" s="34"/>
      <c r="C5" s="34"/>
      <c r="D5" s="34"/>
      <c r="E5" s="34"/>
    </row>
    <row r="6" spans="1:40" ht="15.75">
      <c r="A6" s="35" t="s">
        <v>151</v>
      </c>
      <c r="B6" s="1680" t="s">
        <v>1520</v>
      </c>
      <c r="C6" s="1680"/>
      <c r="D6" s="1680"/>
      <c r="E6" s="1680"/>
    </row>
    <row r="7" spans="1:40" ht="19.5" customHeight="1">
      <c r="A7" s="36"/>
      <c r="B7" s="1681"/>
      <c r="C7" s="1681"/>
      <c r="D7" s="1681"/>
      <c r="E7" s="1681"/>
    </row>
    <row r="8" spans="1:40">
      <c r="A8" s="33"/>
      <c r="B8" s="34"/>
      <c r="C8" s="34"/>
      <c r="D8" s="34"/>
      <c r="E8" s="34"/>
    </row>
    <row r="9" spans="1:40">
      <c r="A9" s="37"/>
      <c r="B9" s="37"/>
      <c r="C9" s="37"/>
      <c r="D9" s="37"/>
      <c r="E9" s="315" t="s">
        <v>296</v>
      </c>
    </row>
    <row r="10" spans="1:40" ht="25.5" customHeight="1">
      <c r="A10" s="1410" t="s">
        <v>94</v>
      </c>
      <c r="B10" s="1577" t="s">
        <v>1223</v>
      </c>
      <c r="C10" s="1682"/>
      <c r="D10" s="1682"/>
      <c r="E10" s="1563"/>
    </row>
    <row r="11" spans="1:40" s="15" customFormat="1" ht="44.25" customHeight="1">
      <c r="A11" s="1410"/>
      <c r="B11" s="38" t="s">
        <v>1224</v>
      </c>
      <c r="C11" s="314" t="s">
        <v>810</v>
      </c>
      <c r="D11" s="307" t="s">
        <v>811</v>
      </c>
      <c r="E11" s="22" t="s">
        <v>1225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s="8" customFormat="1" ht="24.95" customHeight="1">
      <c r="A12" s="39" t="s">
        <v>298</v>
      </c>
      <c r="B12" s="40"/>
      <c r="C12" s="308"/>
      <c r="D12" s="308"/>
      <c r="E12" s="41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s="8" customFormat="1" ht="24.95" customHeight="1">
      <c r="A13" s="577" t="s">
        <v>1014</v>
      </c>
      <c r="B13" s="43">
        <f>B14+B15</f>
        <v>250.11099999999999</v>
      </c>
      <c r="C13" s="43">
        <f>C14+C15</f>
        <v>934.61</v>
      </c>
      <c r="D13" s="43">
        <f>D14+D15</f>
        <v>926.48</v>
      </c>
      <c r="E13" s="43">
        <f>E14+E15</f>
        <v>258.24099999999999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s="8" customFormat="1" ht="24.95" customHeight="1">
      <c r="A14" s="578" t="s">
        <v>1012</v>
      </c>
      <c r="B14" s="43">
        <v>0.111</v>
      </c>
      <c r="C14" s="309">
        <v>764.61</v>
      </c>
      <c r="D14" s="309">
        <v>756.48</v>
      </c>
      <c r="E14" s="44">
        <f>+B14+C14-D14</f>
        <v>8.2409999999999854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s="8" customFormat="1" ht="24.95" customHeight="1">
      <c r="A15" s="578" t="s">
        <v>1013</v>
      </c>
      <c r="B15" s="43">
        <v>250</v>
      </c>
      <c r="C15" s="309">
        <v>170</v>
      </c>
      <c r="D15" s="309">
        <v>170</v>
      </c>
      <c r="E15" s="44">
        <f>+B15+C15-D15</f>
        <v>250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s="27" customFormat="1" ht="24.95" customHeight="1">
      <c r="A16" s="42" t="s">
        <v>299</v>
      </c>
      <c r="B16" s="43">
        <f>1937988/1000000</f>
        <v>1.937988</v>
      </c>
      <c r="C16" s="309">
        <f>184927670/1000000</f>
        <v>184.92767000000001</v>
      </c>
      <c r="D16" s="309">
        <f>165931791/1000000</f>
        <v>165.931791</v>
      </c>
      <c r="E16" s="44">
        <f t="shared" ref="E16:E19" si="0">+B16+C16-D16</f>
        <v>20.933866999999992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s="27" customFormat="1" ht="24.95" customHeight="1">
      <c r="A17" s="42" t="s">
        <v>300</v>
      </c>
      <c r="B17" s="45">
        <v>4.62</v>
      </c>
      <c r="C17" s="310">
        <v>29.227</v>
      </c>
      <c r="D17" s="310">
        <v>33.448</v>
      </c>
      <c r="E17" s="44">
        <f t="shared" si="0"/>
        <v>0.39900000000000091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s="27" customFormat="1" ht="24.95" customHeight="1">
      <c r="A18" s="42" t="s">
        <v>301</v>
      </c>
      <c r="B18" s="45"/>
      <c r="C18" s="310"/>
      <c r="D18" s="310"/>
      <c r="E18" s="44">
        <f t="shared" si="0"/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s="27" customFormat="1" ht="24.95" customHeight="1">
      <c r="A19" s="42" t="s">
        <v>302</v>
      </c>
      <c r="B19" s="45"/>
      <c r="C19" s="310"/>
      <c r="D19" s="310"/>
      <c r="E19" s="44">
        <f t="shared" si="0"/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s="27" customFormat="1" ht="24.95" customHeight="1">
      <c r="A20" s="47" t="s">
        <v>752</v>
      </c>
      <c r="B20" s="48">
        <f>SUM(B13:B19)</f>
        <v>506.779988</v>
      </c>
      <c r="C20" s="311"/>
      <c r="D20" s="311"/>
      <c r="E20" s="49">
        <f>SUM(E13:E19)</f>
        <v>537.81486699999994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s="27" customFormat="1" ht="5.0999999999999996" customHeight="1">
      <c r="A21" s="581"/>
      <c r="B21" s="582"/>
      <c r="C21" s="583"/>
      <c r="D21" s="583"/>
      <c r="E21" s="584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s="27" customFormat="1" ht="24.95" customHeight="1">
      <c r="A22" s="50" t="s">
        <v>303</v>
      </c>
      <c r="B22" s="45"/>
      <c r="C22" s="310"/>
      <c r="D22" s="310"/>
      <c r="E22" s="46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s="27" customFormat="1" ht="24.95" customHeight="1">
      <c r="A23" s="580" t="s">
        <v>1015</v>
      </c>
      <c r="B23" s="45"/>
      <c r="C23" s="310"/>
      <c r="D23" s="310"/>
      <c r="E23" s="579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s="27" customFormat="1" ht="24.95" customHeight="1">
      <c r="A24" s="580" t="s">
        <v>1016</v>
      </c>
      <c r="B24" s="45"/>
      <c r="C24" s="310"/>
      <c r="D24" s="310"/>
      <c r="E24" s="579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s="27" customFormat="1" ht="24.95" customHeight="1">
      <c r="A25" s="580" t="s">
        <v>1017</v>
      </c>
      <c r="B25" s="45"/>
      <c r="C25" s="310"/>
      <c r="D25" s="310"/>
      <c r="E25" s="579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s="27" customFormat="1" ht="5.0999999999999996" customHeight="1">
      <c r="A26" s="581"/>
      <c r="B26" s="582"/>
      <c r="C26" s="583"/>
      <c r="D26" s="583"/>
      <c r="E26" s="584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s="27" customFormat="1" ht="24.95" customHeight="1">
      <c r="A27" s="51" t="s">
        <v>304</v>
      </c>
      <c r="B27" s="45">
        <f>B28+B29+B35</f>
        <v>0</v>
      </c>
      <c r="C27" s="45" t="e">
        <f>C28+C29+C35</f>
        <v>#REF!</v>
      </c>
      <c r="D27" s="45" t="e">
        <f>D28+D29+D35</f>
        <v>#REF!</v>
      </c>
      <c r="E27" s="45">
        <f>E28+E29+E35</f>
        <v>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s="27" customFormat="1" ht="24.95" customHeight="1">
      <c r="A28" s="576" t="s">
        <v>1009</v>
      </c>
      <c r="B28" s="45"/>
      <c r="C28" s="310" t="e">
        <f>+'Anx-I'!#REF!+'Anx-I'!#REF!+'Anx-I'!#REF!</f>
        <v>#REF!</v>
      </c>
      <c r="D28" s="310" t="e">
        <f>+C28</f>
        <v>#REF!</v>
      </c>
      <c r="E28" s="46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s="27" customFormat="1" ht="24.95" customHeight="1">
      <c r="A29" s="576" t="s">
        <v>1010</v>
      </c>
      <c r="B29" s="45"/>
      <c r="C29" s="310" t="e">
        <f>+'Anx-I'!#REF!</f>
        <v>#REF!</v>
      </c>
      <c r="D29" s="310" t="e">
        <f>+C29</f>
        <v>#REF!</v>
      </c>
      <c r="E29" s="46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s="27" customFormat="1" ht="24.95" customHeight="1">
      <c r="A30" s="576" t="s">
        <v>1011</v>
      </c>
      <c r="B30" s="45"/>
      <c r="C30" s="310"/>
      <c r="D30" s="310"/>
      <c r="E30" s="46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s="27" customFormat="1" ht="24.95" customHeight="1">
      <c r="A31" s="580" t="s">
        <v>1341</v>
      </c>
      <c r="B31" s="45">
        <f>162690384/1000000</f>
        <v>162.69038399999999</v>
      </c>
      <c r="C31" s="310">
        <f>2624867236.27/1000000</f>
        <v>2624.8672362699999</v>
      </c>
      <c r="D31" s="310">
        <f>2513388679.36/1000000</f>
        <v>2513.38867936</v>
      </c>
      <c r="E31" s="46">
        <f>+B31+C31-D31</f>
        <v>274.16894090999995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s="27" customFormat="1" ht="24.95" customHeight="1">
      <c r="A32" s="580" t="s">
        <v>1340</v>
      </c>
      <c r="B32" s="45">
        <f>3775765.74/1000000</f>
        <v>3.7757657400000002</v>
      </c>
      <c r="C32" s="310">
        <f>64654411.22/1000000</f>
        <v>64.65441122</v>
      </c>
      <c r="D32" s="310">
        <f>67447900/1000000</f>
        <v>67.447900000000004</v>
      </c>
      <c r="E32" s="46">
        <f>+B32+C32-D32</f>
        <v>0.98227695999999298</v>
      </c>
      <c r="F32" s="745">
        <f>E32-982276.96/1000000</f>
        <v>-6.9944050551384862E-15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16384" s="27" customFormat="1" ht="24.95" customHeight="1">
      <c r="A33" s="580" t="s">
        <v>1342</v>
      </c>
      <c r="B33" s="45">
        <f>8042670/1000000</f>
        <v>8.0426699999999993</v>
      </c>
      <c r="C33" s="310">
        <f>1133716944/1000000</f>
        <v>1133.716944</v>
      </c>
      <c r="D33" s="310">
        <f>1004664918/1000000</f>
        <v>1004.6649179999999</v>
      </c>
      <c r="E33" s="46">
        <f>+B33+C33-D33</f>
        <v>137.09469600000011</v>
      </c>
      <c r="F33" s="729">
        <f>E33-137094695/1000000</f>
        <v>1.0000001111620804E-6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16384" s="27" customFormat="1" ht="24.95" customHeight="1">
      <c r="A34" s="580" t="s">
        <v>1343</v>
      </c>
      <c r="B34" s="45">
        <f>29182678/1000000</f>
        <v>29.182677999999999</v>
      </c>
      <c r="C34" s="310">
        <f>522262899/1000000</f>
        <v>522.26289899999995</v>
      </c>
      <c r="D34" s="310">
        <f>532934668/1000000</f>
        <v>532.93466799999999</v>
      </c>
      <c r="E34" s="46">
        <f>+B34+C34-D34</f>
        <v>18.51090899999997</v>
      </c>
      <c r="F34" s="745">
        <f>E34-18510899/1000000</f>
        <v>9.9999999711997134E-6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16384" s="27" customFormat="1" ht="24.95" hidden="1" customHeight="1">
      <c r="B35" s="45"/>
      <c r="C35" s="310"/>
      <c r="D35" s="310"/>
      <c r="E35" s="46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16384" s="27" customFormat="1" ht="5.0999999999999996" customHeight="1">
      <c r="A36" s="581"/>
      <c r="B36" s="582"/>
      <c r="C36" s="583"/>
      <c r="D36" s="583"/>
      <c r="E36" s="584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16384" s="27" customFormat="1" ht="24.75" customHeight="1">
      <c r="A37" s="52" t="s">
        <v>305</v>
      </c>
      <c r="B37" s="45"/>
      <c r="C37" s="310"/>
      <c r="D37" s="310"/>
      <c r="E37" s="46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16384" s="27" customFormat="1" ht="24.75" customHeight="1">
      <c r="A38" s="52" t="s">
        <v>306</v>
      </c>
      <c r="B38" s="45"/>
      <c r="C38" s="310"/>
      <c r="D38" s="310"/>
      <c r="E38" s="46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16384" s="27" customFormat="1" ht="24" customHeight="1">
      <c r="A39" s="50" t="s">
        <v>1018</v>
      </c>
      <c r="B39" s="45"/>
      <c r="C39" s="310"/>
      <c r="D39" s="310"/>
      <c r="E39" s="46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16384" s="27" customFormat="1" ht="24.95" customHeight="1">
      <c r="A40" s="50" t="s">
        <v>307</v>
      </c>
      <c r="B40" s="45"/>
      <c r="C40" s="310"/>
      <c r="D40" s="310"/>
      <c r="E40" s="46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16384" s="8" customFormat="1" ht="24.95" customHeight="1">
      <c r="A41" s="51" t="s">
        <v>308</v>
      </c>
      <c r="B41" s="53"/>
      <c r="C41" s="312"/>
      <c r="D41" s="312"/>
      <c r="E41" s="44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16384" s="8" customFormat="1" ht="24.95" customHeight="1">
      <c r="A42" s="31" t="s">
        <v>136</v>
      </c>
      <c r="B42" s="54">
        <f>SUM(B20,B22:B41)</f>
        <v>710.47148574000005</v>
      </c>
      <c r="C42" s="313"/>
      <c r="D42" s="313"/>
      <c r="E42" s="55">
        <f>SUM(E20,E22:E41)</f>
        <v>968.57168987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16384" s="27" customFormat="1" ht="5.0999999999999996" customHeight="1">
      <c r="A43" s="581"/>
      <c r="B43" s="582"/>
      <c r="C43" s="583"/>
      <c r="D43" s="583"/>
      <c r="E43" s="584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16384" s="8" customFormat="1" ht="24.95" customHeight="1">
      <c r="A44" s="291"/>
      <c r="B44" s="292"/>
      <c r="C44" s="277"/>
      <c r="D44" s="277"/>
      <c r="E44" s="281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 s="291"/>
      <c r="AP44" s="292"/>
      <c r="AQ44" s="292"/>
      <c r="AR44" s="292"/>
      <c r="AS44" s="291"/>
      <c r="AT44" s="292"/>
      <c r="AU44" s="292"/>
      <c r="AV44" s="292"/>
      <c r="AW44" s="291"/>
      <c r="AX44" s="292"/>
      <c r="AY44" s="292"/>
      <c r="AZ44" s="292"/>
      <c r="BA44" s="291"/>
      <c r="BB44" s="292"/>
      <c r="BC44" s="292"/>
      <c r="BD44" s="292"/>
      <c r="BE44" s="291"/>
      <c r="BF44" s="292"/>
      <c r="BG44" s="292"/>
      <c r="BH44" s="292"/>
      <c r="BI44" s="291"/>
      <c r="BJ44" s="292"/>
      <c r="BK44" s="292"/>
      <c r="BL44" s="292"/>
      <c r="BM44" s="291"/>
      <c r="BN44" s="292"/>
      <c r="BO44" s="292"/>
      <c r="BP44" s="292"/>
      <c r="BQ44" s="291"/>
      <c r="BR44" s="292"/>
      <c r="BS44" s="292"/>
      <c r="BT44" s="292"/>
      <c r="BU44" s="291"/>
      <c r="BV44" s="292"/>
      <c r="BW44" s="292"/>
      <c r="BX44" s="292"/>
      <c r="BY44" s="291"/>
      <c r="BZ44" s="292"/>
      <c r="CA44" s="292"/>
      <c r="CB44" s="292"/>
      <c r="CC44" s="291"/>
      <c r="CD44" s="292"/>
      <c r="CE44" s="292"/>
      <c r="CF44" s="292"/>
      <c r="CG44" s="291"/>
      <c r="CH44" s="292"/>
      <c r="CI44" s="292"/>
      <c r="CJ44" s="292"/>
      <c r="CK44" s="291"/>
      <c r="CL44" s="292"/>
      <c r="CM44" s="292"/>
      <c r="CN44" s="292"/>
      <c r="CO44" s="291"/>
      <c r="CP44" s="292"/>
      <c r="CQ44" s="292"/>
      <c r="CR44" s="292"/>
      <c r="CS44" s="291"/>
      <c r="CT44" s="292"/>
      <c r="CU44" s="292"/>
      <c r="CV44" s="292"/>
      <c r="CW44" s="291"/>
      <c r="CX44" s="292"/>
      <c r="CY44" s="292"/>
      <c r="CZ44" s="292"/>
      <c r="DA44" s="291"/>
      <c r="DB44" s="292"/>
      <c r="DC44" s="292"/>
      <c r="DD44" s="292"/>
      <c r="DE44" s="291"/>
      <c r="DF44" s="292"/>
      <c r="DG44" s="292"/>
      <c r="DH44" s="292"/>
      <c r="DI44" s="291"/>
      <c r="DJ44" s="292"/>
      <c r="DK44" s="292"/>
      <c r="DL44" s="292"/>
      <c r="DM44" s="291"/>
      <c r="DN44" s="292"/>
      <c r="DO44" s="292"/>
      <c r="DP44" s="292"/>
      <c r="DQ44" s="291"/>
      <c r="DR44" s="292"/>
      <c r="DS44" s="292"/>
      <c r="DT44" s="292"/>
      <c r="DU44" s="291"/>
      <c r="DV44" s="292"/>
      <c r="DW44" s="292"/>
      <c r="DX44" s="292"/>
      <c r="DY44" s="291"/>
      <c r="DZ44" s="292"/>
      <c r="EA44" s="292"/>
      <c r="EB44" s="292"/>
      <c r="EC44" s="291"/>
      <c r="ED44" s="292"/>
      <c r="EE44" s="292"/>
      <c r="EF44" s="292"/>
      <c r="EG44" s="291"/>
      <c r="EH44" s="292"/>
      <c r="EI44" s="292"/>
      <c r="EJ44" s="292"/>
      <c r="EK44" s="291"/>
      <c r="EL44" s="292"/>
      <c r="EM44" s="292"/>
      <c r="EN44" s="292"/>
      <c r="EO44" s="291"/>
      <c r="EP44" s="292"/>
      <c r="EQ44" s="292"/>
      <c r="ER44" s="292"/>
      <c r="ES44" s="291"/>
      <c r="ET44" s="292"/>
      <c r="EU44" s="292"/>
      <c r="EV44" s="292"/>
      <c r="EW44" s="291"/>
      <c r="EX44" s="292"/>
      <c r="EY44" s="292"/>
      <c r="EZ44" s="292"/>
      <c r="FA44" s="291"/>
      <c r="FB44" s="292"/>
      <c r="FC44" s="292"/>
      <c r="FD44" s="292"/>
      <c r="FE44" s="291"/>
      <c r="FF44" s="292"/>
      <c r="FG44" s="292"/>
      <c r="FH44" s="292"/>
      <c r="FI44" s="291"/>
      <c r="FJ44" s="292"/>
      <c r="FK44" s="292"/>
      <c r="FL44" s="292"/>
      <c r="FM44" s="291"/>
      <c r="FN44" s="292"/>
      <c r="FO44" s="292"/>
      <c r="FP44" s="292"/>
      <c r="FQ44" s="291"/>
      <c r="FR44" s="292"/>
      <c r="FS44" s="292"/>
      <c r="FT44" s="292"/>
      <c r="FU44" s="291"/>
      <c r="FV44" s="292"/>
      <c r="FW44" s="292"/>
      <c r="FX44" s="292"/>
      <c r="FY44" s="291"/>
      <c r="FZ44" s="292"/>
      <c r="GA44" s="292"/>
      <c r="GB44" s="292"/>
      <c r="GC44" s="291"/>
      <c r="GD44" s="292"/>
      <c r="GE44" s="292"/>
      <c r="GF44" s="292"/>
      <c r="GG44" s="291"/>
      <c r="GH44" s="292"/>
      <c r="GI44" s="292"/>
      <c r="GJ44" s="292"/>
      <c r="GK44" s="291"/>
      <c r="GL44" s="292"/>
      <c r="GM44" s="292"/>
      <c r="GN44" s="292"/>
      <c r="GO44" s="291"/>
      <c r="GP44" s="292"/>
      <c r="GQ44" s="292"/>
      <c r="GR44" s="292"/>
      <c r="GS44" s="291"/>
      <c r="GT44" s="292"/>
      <c r="GU44" s="292"/>
      <c r="GV44" s="292"/>
      <c r="GW44" s="291"/>
      <c r="GX44" s="292"/>
      <c r="GY44" s="292"/>
      <c r="GZ44" s="292"/>
      <c r="HA44" s="291"/>
      <c r="HB44" s="292"/>
      <c r="HC44" s="292"/>
      <c r="HD44" s="292"/>
      <c r="HE44" s="291"/>
      <c r="HF44" s="292"/>
      <c r="HG44" s="292"/>
      <c r="HH44" s="292"/>
      <c r="HI44" s="291"/>
      <c r="HJ44" s="292"/>
      <c r="HK44" s="292"/>
      <c r="HL44" s="292"/>
      <c r="HM44" s="291"/>
      <c r="HN44" s="292"/>
      <c r="HO44" s="292"/>
      <c r="HP44" s="292"/>
      <c r="HQ44" s="291"/>
      <c r="HR44" s="292"/>
      <c r="HS44" s="292"/>
      <c r="HT44" s="292"/>
      <c r="HU44" s="291"/>
      <c r="HV44" s="292"/>
      <c r="HW44" s="292"/>
      <c r="HX44" s="292"/>
      <c r="HY44" s="291"/>
      <c r="HZ44" s="292"/>
      <c r="IA44" s="292"/>
      <c r="IB44" s="292"/>
      <c r="IC44" s="291"/>
      <c r="ID44" s="292"/>
      <c r="IE44" s="292"/>
      <c r="IF44" s="292"/>
      <c r="IG44" s="291"/>
      <c r="IH44" s="292"/>
      <c r="II44" s="292"/>
      <c r="IJ44" s="292"/>
      <c r="IK44" s="291"/>
      <c r="IL44" s="292"/>
      <c r="IM44" s="292"/>
      <c r="IN44" s="292"/>
      <c r="IO44" s="291"/>
      <c r="IP44" s="292"/>
      <c r="IQ44" s="292"/>
      <c r="IR44" s="292"/>
      <c r="IS44" s="291"/>
      <c r="IT44" s="292"/>
      <c r="IU44" s="292"/>
      <c r="IV44" s="292"/>
      <c r="IW44" s="291"/>
      <c r="IX44" s="292"/>
      <c r="IY44" s="292"/>
      <c r="IZ44" s="292"/>
      <c r="JA44" s="291"/>
      <c r="JB44" s="292"/>
      <c r="JC44" s="292"/>
      <c r="JD44" s="292"/>
      <c r="JE44" s="291"/>
      <c r="JF44" s="292"/>
      <c r="JG44" s="292"/>
      <c r="JH44" s="292"/>
      <c r="JI44" s="291"/>
      <c r="JJ44" s="292"/>
      <c r="JK44" s="292"/>
      <c r="JL44" s="292"/>
      <c r="JM44" s="291"/>
      <c r="JN44" s="292"/>
      <c r="JO44" s="292"/>
      <c r="JP44" s="292"/>
      <c r="JQ44" s="291"/>
      <c r="JR44" s="292"/>
      <c r="JS44" s="292"/>
      <c r="JT44" s="292"/>
      <c r="JU44" s="291"/>
      <c r="JV44" s="292"/>
      <c r="JW44" s="292"/>
      <c r="JX44" s="292"/>
      <c r="JY44" s="291"/>
      <c r="JZ44" s="292"/>
      <c r="KA44" s="292"/>
      <c r="KB44" s="292"/>
      <c r="KC44" s="291"/>
      <c r="KD44" s="292"/>
      <c r="KE44" s="292"/>
      <c r="KF44" s="292"/>
      <c r="KG44" s="291"/>
      <c r="KH44" s="292"/>
      <c r="KI44" s="292"/>
      <c r="KJ44" s="292"/>
      <c r="KK44" s="291"/>
      <c r="KL44" s="292"/>
      <c r="KM44" s="292"/>
      <c r="KN44" s="292"/>
      <c r="KO44" s="291"/>
      <c r="KP44" s="292"/>
      <c r="KQ44" s="292"/>
      <c r="KR44" s="292"/>
      <c r="KS44" s="291"/>
      <c r="KT44" s="292"/>
      <c r="KU44" s="292"/>
      <c r="KV44" s="292"/>
      <c r="KW44" s="291"/>
      <c r="KX44" s="292"/>
      <c r="KY44" s="292"/>
      <c r="KZ44" s="292"/>
      <c r="LA44" s="291"/>
      <c r="LB44" s="292"/>
      <c r="LC44" s="292"/>
      <c r="LD44" s="292"/>
      <c r="LE44" s="291"/>
      <c r="LF44" s="292"/>
      <c r="LG44" s="292"/>
      <c r="LH44" s="292"/>
      <c r="LI44" s="291"/>
      <c r="LJ44" s="292"/>
      <c r="LK44" s="292"/>
      <c r="LL44" s="292"/>
      <c r="LM44" s="291"/>
      <c r="LN44" s="292"/>
      <c r="LO44" s="292"/>
      <c r="LP44" s="292"/>
      <c r="LQ44" s="291"/>
      <c r="LR44" s="292"/>
      <c r="LS44" s="292"/>
      <c r="LT44" s="292"/>
      <c r="LU44" s="291"/>
      <c r="LV44" s="292"/>
      <c r="LW44" s="292"/>
      <c r="LX44" s="292"/>
      <c r="LY44" s="291"/>
      <c r="LZ44" s="292"/>
      <c r="MA44" s="292"/>
      <c r="MB44" s="292"/>
      <c r="MC44" s="291"/>
      <c r="MD44" s="292"/>
      <c r="ME44" s="292"/>
      <c r="MF44" s="292"/>
      <c r="MG44" s="291"/>
      <c r="MH44" s="292"/>
      <c r="MI44" s="292"/>
      <c r="MJ44" s="292"/>
      <c r="MK44" s="291"/>
      <c r="ML44" s="292"/>
      <c r="MM44" s="292"/>
      <c r="MN44" s="292"/>
      <c r="MO44" s="291"/>
      <c r="MP44" s="292"/>
      <c r="MQ44" s="292"/>
      <c r="MR44" s="292"/>
      <c r="MS44" s="291"/>
      <c r="MT44" s="292"/>
      <c r="MU44" s="292"/>
      <c r="MV44" s="292"/>
      <c r="MW44" s="291"/>
      <c r="MX44" s="292"/>
      <c r="MY44" s="292"/>
      <c r="MZ44" s="292"/>
      <c r="NA44" s="291"/>
      <c r="NB44" s="292"/>
      <c r="NC44" s="292"/>
      <c r="ND44" s="292"/>
      <c r="NE44" s="291"/>
      <c r="NF44" s="292"/>
      <c r="NG44" s="292"/>
      <c r="NH44" s="292"/>
      <c r="NI44" s="291"/>
      <c r="NJ44" s="292"/>
      <c r="NK44" s="292"/>
      <c r="NL44" s="292"/>
      <c r="NM44" s="291"/>
      <c r="NN44" s="292"/>
      <c r="NO44" s="292"/>
      <c r="NP44" s="292"/>
      <c r="NQ44" s="291"/>
      <c r="NR44" s="292"/>
      <c r="NS44" s="292"/>
      <c r="NT44" s="292"/>
      <c r="NU44" s="291"/>
      <c r="NV44" s="292"/>
      <c r="NW44" s="292"/>
      <c r="NX44" s="292"/>
      <c r="NY44" s="291"/>
      <c r="NZ44" s="292"/>
      <c r="OA44" s="292"/>
      <c r="OB44" s="292"/>
      <c r="OC44" s="291"/>
      <c r="OD44" s="292"/>
      <c r="OE44" s="292"/>
      <c r="OF44" s="292"/>
      <c r="OG44" s="291"/>
      <c r="OH44" s="292"/>
      <c r="OI44" s="292"/>
      <c r="OJ44" s="292"/>
      <c r="OK44" s="291"/>
      <c r="OL44" s="292"/>
      <c r="OM44" s="292"/>
      <c r="ON44" s="292"/>
      <c r="OO44" s="291"/>
      <c r="OP44" s="292"/>
      <c r="OQ44" s="292"/>
      <c r="OR44" s="292"/>
      <c r="OS44" s="291"/>
      <c r="OT44" s="292"/>
      <c r="OU44" s="292"/>
      <c r="OV44" s="292"/>
      <c r="OW44" s="291"/>
      <c r="OX44" s="292"/>
      <c r="OY44" s="292"/>
      <c r="OZ44" s="292"/>
      <c r="PA44" s="291"/>
      <c r="PB44" s="292"/>
      <c r="PC44" s="292"/>
      <c r="PD44" s="292"/>
      <c r="PE44" s="291"/>
      <c r="PF44" s="292"/>
      <c r="PG44" s="292"/>
      <c r="PH44" s="292"/>
      <c r="PI44" s="291"/>
      <c r="PJ44" s="292"/>
      <c r="PK44" s="292"/>
      <c r="PL44" s="292"/>
      <c r="PM44" s="291"/>
      <c r="PN44" s="292"/>
      <c r="PO44" s="292"/>
      <c r="PP44" s="292"/>
      <c r="PQ44" s="291"/>
      <c r="PR44" s="292"/>
      <c r="PS44" s="292"/>
      <c r="PT44" s="292"/>
      <c r="PU44" s="291"/>
      <c r="PV44" s="292"/>
      <c r="PW44" s="292"/>
      <c r="PX44" s="292"/>
      <c r="PY44" s="291"/>
      <c r="PZ44" s="292"/>
      <c r="QA44" s="292"/>
      <c r="QB44" s="292"/>
      <c r="QC44" s="291"/>
      <c r="QD44" s="292"/>
      <c r="QE44" s="292"/>
      <c r="QF44" s="292"/>
      <c r="QG44" s="291"/>
      <c r="QH44" s="292"/>
      <c r="QI44" s="292"/>
      <c r="QJ44" s="292"/>
      <c r="QK44" s="291"/>
      <c r="QL44" s="292"/>
      <c r="QM44" s="292"/>
      <c r="QN44" s="292"/>
      <c r="QO44" s="291"/>
      <c r="QP44" s="292"/>
      <c r="QQ44" s="292"/>
      <c r="QR44" s="292"/>
      <c r="QS44" s="291"/>
      <c r="QT44" s="292"/>
      <c r="QU44" s="292"/>
      <c r="QV44" s="292"/>
      <c r="QW44" s="291"/>
      <c r="QX44" s="292"/>
      <c r="QY44" s="292"/>
      <c r="QZ44" s="292"/>
      <c r="RA44" s="291"/>
      <c r="RB44" s="292"/>
      <c r="RC44" s="292"/>
      <c r="RD44" s="292"/>
      <c r="RE44" s="291"/>
      <c r="RF44" s="292"/>
      <c r="RG44" s="292"/>
      <c r="RH44" s="292"/>
      <c r="RI44" s="291"/>
      <c r="RJ44" s="292"/>
      <c r="RK44" s="292"/>
      <c r="RL44" s="292"/>
      <c r="RM44" s="291"/>
      <c r="RN44" s="292"/>
      <c r="RO44" s="292"/>
      <c r="RP44" s="292"/>
      <c r="RQ44" s="291"/>
      <c r="RR44" s="292"/>
      <c r="RS44" s="292"/>
      <c r="RT44" s="292"/>
      <c r="RU44" s="291"/>
      <c r="RV44" s="292"/>
      <c r="RW44" s="292"/>
      <c r="RX44" s="292"/>
      <c r="RY44" s="291"/>
      <c r="RZ44" s="292"/>
      <c r="SA44" s="292"/>
      <c r="SB44" s="292"/>
      <c r="SC44" s="291"/>
      <c r="SD44" s="292"/>
      <c r="SE44" s="292"/>
      <c r="SF44" s="292"/>
      <c r="SG44" s="291"/>
      <c r="SH44" s="292"/>
      <c r="SI44" s="292"/>
      <c r="SJ44" s="292"/>
      <c r="SK44" s="291"/>
      <c r="SL44" s="292"/>
      <c r="SM44" s="292"/>
      <c r="SN44" s="292"/>
      <c r="SO44" s="291"/>
      <c r="SP44" s="292"/>
      <c r="SQ44" s="292"/>
      <c r="SR44" s="292"/>
      <c r="SS44" s="291"/>
      <c r="ST44" s="292"/>
      <c r="SU44" s="292"/>
      <c r="SV44" s="292"/>
      <c r="SW44" s="291"/>
      <c r="SX44" s="292"/>
      <c r="SY44" s="292"/>
      <c r="SZ44" s="292"/>
      <c r="TA44" s="291"/>
      <c r="TB44" s="292"/>
      <c r="TC44" s="292"/>
      <c r="TD44" s="292"/>
      <c r="TE44" s="291"/>
      <c r="TF44" s="292"/>
      <c r="TG44" s="292"/>
      <c r="TH44" s="292"/>
      <c r="TI44" s="291"/>
      <c r="TJ44" s="292"/>
      <c r="TK44" s="292"/>
      <c r="TL44" s="292"/>
      <c r="TM44" s="291"/>
      <c r="TN44" s="292"/>
      <c r="TO44" s="292"/>
      <c r="TP44" s="292"/>
      <c r="TQ44" s="291"/>
      <c r="TR44" s="292"/>
      <c r="TS44" s="292"/>
      <c r="TT44" s="292"/>
      <c r="TU44" s="291"/>
      <c r="TV44" s="292"/>
      <c r="TW44" s="292"/>
      <c r="TX44" s="292"/>
      <c r="TY44" s="291"/>
      <c r="TZ44" s="292"/>
      <c r="UA44" s="292"/>
      <c r="UB44" s="292"/>
      <c r="UC44" s="291"/>
      <c r="UD44" s="292"/>
      <c r="UE44" s="292"/>
      <c r="UF44" s="292"/>
      <c r="UG44" s="291"/>
      <c r="UH44" s="292"/>
      <c r="UI44" s="292"/>
      <c r="UJ44" s="292"/>
      <c r="UK44" s="291"/>
      <c r="UL44" s="292"/>
      <c r="UM44" s="292"/>
      <c r="UN44" s="292"/>
      <c r="UO44" s="291"/>
      <c r="UP44" s="292"/>
      <c r="UQ44" s="292"/>
      <c r="UR44" s="292"/>
      <c r="US44" s="291"/>
      <c r="UT44" s="292"/>
      <c r="UU44" s="292"/>
      <c r="UV44" s="292"/>
      <c r="UW44" s="291"/>
      <c r="UX44" s="292"/>
      <c r="UY44" s="292"/>
      <c r="UZ44" s="292"/>
      <c r="VA44" s="291"/>
      <c r="VB44" s="292"/>
      <c r="VC44" s="292"/>
      <c r="VD44" s="292"/>
      <c r="VE44" s="291"/>
      <c r="VF44" s="292"/>
      <c r="VG44" s="292"/>
      <c r="VH44" s="292"/>
      <c r="VI44" s="291"/>
      <c r="VJ44" s="292"/>
      <c r="VK44" s="292"/>
      <c r="VL44" s="292"/>
      <c r="VM44" s="291"/>
      <c r="VN44" s="292"/>
      <c r="VO44" s="292"/>
      <c r="VP44" s="292"/>
      <c r="VQ44" s="291"/>
      <c r="VR44" s="292"/>
      <c r="VS44" s="292"/>
      <c r="VT44" s="292"/>
      <c r="VU44" s="291"/>
      <c r="VV44" s="292"/>
      <c r="VW44" s="292"/>
      <c r="VX44" s="292"/>
      <c r="VY44" s="291"/>
      <c r="VZ44" s="292"/>
      <c r="WA44" s="292"/>
      <c r="WB44" s="292"/>
      <c r="WC44" s="291"/>
      <c r="WD44" s="292"/>
      <c r="WE44" s="292"/>
      <c r="WF44" s="292"/>
      <c r="WG44" s="291"/>
      <c r="WH44" s="292"/>
      <c r="WI44" s="292"/>
      <c r="WJ44" s="292"/>
      <c r="WK44" s="291"/>
      <c r="WL44" s="292"/>
      <c r="WM44" s="292"/>
      <c r="WN44" s="292"/>
      <c r="WO44" s="291"/>
      <c r="WP44" s="292"/>
      <c r="WQ44" s="292"/>
      <c r="WR44" s="292"/>
      <c r="WS44" s="291"/>
      <c r="WT44" s="292"/>
      <c r="WU44" s="292"/>
      <c r="WV44" s="292"/>
      <c r="WW44" s="291"/>
      <c r="WX44" s="292"/>
      <c r="WY44" s="292"/>
      <c r="WZ44" s="292"/>
      <c r="XA44" s="291"/>
      <c r="XB44" s="292"/>
      <c r="XC44" s="292"/>
      <c r="XD44" s="292"/>
      <c r="XE44" s="291"/>
      <c r="XF44" s="292"/>
      <c r="XG44" s="292"/>
      <c r="XH44" s="292"/>
      <c r="XI44" s="291"/>
      <c r="XJ44" s="292"/>
      <c r="XK44" s="292"/>
      <c r="XL44" s="292"/>
      <c r="XM44" s="291"/>
      <c r="XN44" s="292"/>
      <c r="XO44" s="292"/>
      <c r="XP44" s="292"/>
      <c r="XQ44" s="291"/>
      <c r="XR44" s="292"/>
      <c r="XS44" s="292"/>
      <c r="XT44" s="292"/>
      <c r="XU44" s="291"/>
      <c r="XV44" s="292"/>
      <c r="XW44" s="292"/>
      <c r="XX44" s="292"/>
      <c r="XY44" s="291"/>
      <c r="XZ44" s="292"/>
      <c r="YA44" s="292"/>
      <c r="YB44" s="292"/>
      <c r="YC44" s="291"/>
      <c r="YD44" s="292"/>
      <c r="YE44" s="292"/>
      <c r="YF44" s="292"/>
      <c r="YG44" s="291"/>
      <c r="YH44" s="292"/>
      <c r="YI44" s="292"/>
      <c r="YJ44" s="292"/>
      <c r="YK44" s="291"/>
      <c r="YL44" s="292"/>
      <c r="YM44" s="292"/>
      <c r="YN44" s="292"/>
      <c r="YO44" s="291"/>
      <c r="YP44" s="292"/>
      <c r="YQ44" s="292"/>
      <c r="YR44" s="292"/>
      <c r="YS44" s="291"/>
      <c r="YT44" s="292"/>
      <c r="YU44" s="292"/>
      <c r="YV44" s="292"/>
      <c r="YW44" s="291"/>
      <c r="YX44" s="292"/>
      <c r="YY44" s="292"/>
      <c r="YZ44" s="292"/>
      <c r="ZA44" s="291"/>
      <c r="ZB44" s="292"/>
      <c r="ZC44" s="292"/>
      <c r="ZD44" s="292"/>
      <c r="ZE44" s="291"/>
      <c r="ZF44" s="292"/>
      <c r="ZG44" s="292"/>
      <c r="ZH44" s="292"/>
      <c r="ZI44" s="291"/>
      <c r="ZJ44" s="292"/>
      <c r="ZK44" s="292"/>
      <c r="ZL44" s="292"/>
      <c r="ZM44" s="291"/>
      <c r="ZN44" s="292"/>
      <c r="ZO44" s="292"/>
      <c r="ZP44" s="292"/>
      <c r="ZQ44" s="291"/>
      <c r="ZR44" s="292"/>
      <c r="ZS44" s="292"/>
      <c r="ZT44" s="292"/>
      <c r="ZU44" s="291"/>
      <c r="ZV44" s="292"/>
      <c r="ZW44" s="292"/>
      <c r="ZX44" s="292"/>
      <c r="ZY44" s="291"/>
      <c r="ZZ44" s="292"/>
      <c r="AAA44" s="292"/>
      <c r="AAB44" s="292"/>
      <c r="AAC44" s="291"/>
      <c r="AAD44" s="292"/>
      <c r="AAE44" s="292"/>
      <c r="AAF44" s="292"/>
      <c r="AAG44" s="291"/>
      <c r="AAH44" s="292"/>
      <c r="AAI44" s="292"/>
      <c r="AAJ44" s="292"/>
      <c r="AAK44" s="291"/>
      <c r="AAL44" s="292"/>
      <c r="AAM44" s="292"/>
      <c r="AAN44" s="292"/>
      <c r="AAO44" s="291"/>
      <c r="AAP44" s="292"/>
      <c r="AAQ44" s="292"/>
      <c r="AAR44" s="292"/>
      <c r="AAS44" s="291"/>
      <c r="AAT44" s="292"/>
      <c r="AAU44" s="292"/>
      <c r="AAV44" s="292"/>
      <c r="AAW44" s="291"/>
      <c r="AAX44" s="292"/>
      <c r="AAY44" s="292"/>
      <c r="AAZ44" s="292"/>
      <c r="ABA44" s="291"/>
      <c r="ABB44" s="292"/>
      <c r="ABC44" s="292"/>
      <c r="ABD44" s="292"/>
      <c r="ABE44" s="291"/>
      <c r="ABF44" s="292"/>
      <c r="ABG44" s="292"/>
      <c r="ABH44" s="292"/>
      <c r="ABI44" s="291"/>
      <c r="ABJ44" s="292"/>
      <c r="ABK44" s="292"/>
      <c r="ABL44" s="292"/>
      <c r="ABM44" s="291"/>
      <c r="ABN44" s="292"/>
      <c r="ABO44" s="292"/>
      <c r="ABP44" s="292"/>
      <c r="ABQ44" s="291"/>
      <c r="ABR44" s="292"/>
      <c r="ABS44" s="292"/>
      <c r="ABT44" s="292"/>
      <c r="ABU44" s="291"/>
      <c r="ABV44" s="292"/>
      <c r="ABW44" s="292"/>
      <c r="ABX44" s="292"/>
      <c r="ABY44" s="291"/>
      <c r="ABZ44" s="292"/>
      <c r="ACA44" s="292"/>
      <c r="ACB44" s="292"/>
      <c r="ACC44" s="291"/>
      <c r="ACD44" s="292"/>
      <c r="ACE44" s="292"/>
      <c r="ACF44" s="292"/>
      <c r="ACG44" s="291"/>
      <c r="ACH44" s="292"/>
      <c r="ACI44" s="292"/>
      <c r="ACJ44" s="292"/>
      <c r="ACK44" s="291"/>
      <c r="ACL44" s="292"/>
      <c r="ACM44" s="292"/>
      <c r="ACN44" s="292"/>
      <c r="ACO44" s="291"/>
      <c r="ACP44" s="292"/>
      <c r="ACQ44" s="292"/>
      <c r="ACR44" s="292"/>
      <c r="ACS44" s="291"/>
      <c r="ACT44" s="292"/>
      <c r="ACU44" s="292"/>
      <c r="ACV44" s="292"/>
      <c r="ACW44" s="291"/>
      <c r="ACX44" s="292"/>
      <c r="ACY44" s="292"/>
      <c r="ACZ44" s="292"/>
      <c r="ADA44" s="291"/>
      <c r="ADB44" s="292"/>
      <c r="ADC44" s="292"/>
      <c r="ADD44" s="292"/>
      <c r="ADE44" s="291"/>
      <c r="ADF44" s="292"/>
      <c r="ADG44" s="292"/>
      <c r="ADH44" s="292"/>
      <c r="ADI44" s="291"/>
      <c r="ADJ44" s="292"/>
      <c r="ADK44" s="292"/>
      <c r="ADL44" s="292"/>
      <c r="ADM44" s="291"/>
      <c r="ADN44" s="292"/>
      <c r="ADO44" s="292"/>
      <c r="ADP44" s="292"/>
      <c r="ADQ44" s="291"/>
      <c r="ADR44" s="292"/>
      <c r="ADS44" s="292"/>
      <c r="ADT44" s="292"/>
      <c r="ADU44" s="291"/>
      <c r="ADV44" s="292"/>
      <c r="ADW44" s="292"/>
      <c r="ADX44" s="292"/>
      <c r="ADY44" s="291"/>
      <c r="ADZ44" s="292"/>
      <c r="AEA44" s="292"/>
      <c r="AEB44" s="292"/>
      <c r="AEC44" s="291"/>
      <c r="AED44" s="292"/>
      <c r="AEE44" s="292"/>
      <c r="AEF44" s="292"/>
      <c r="AEG44" s="291"/>
      <c r="AEH44" s="292"/>
      <c r="AEI44" s="292"/>
      <c r="AEJ44" s="292"/>
      <c r="AEK44" s="291"/>
      <c r="AEL44" s="292"/>
      <c r="AEM44" s="292"/>
      <c r="AEN44" s="292"/>
      <c r="AEO44" s="291"/>
      <c r="AEP44" s="292"/>
      <c r="AEQ44" s="292"/>
      <c r="AER44" s="292"/>
      <c r="AES44" s="291"/>
      <c r="AET44" s="292"/>
      <c r="AEU44" s="292"/>
      <c r="AEV44" s="292"/>
      <c r="AEW44" s="291"/>
      <c r="AEX44" s="292"/>
      <c r="AEY44" s="292"/>
      <c r="AEZ44" s="292"/>
      <c r="AFA44" s="291"/>
      <c r="AFB44" s="292"/>
      <c r="AFC44" s="292"/>
      <c r="AFD44" s="292"/>
      <c r="AFE44" s="291"/>
      <c r="AFF44" s="292"/>
      <c r="AFG44" s="292"/>
      <c r="AFH44" s="292"/>
      <c r="AFI44" s="291"/>
      <c r="AFJ44" s="292"/>
      <c r="AFK44" s="292"/>
      <c r="AFL44" s="292"/>
      <c r="AFM44" s="291"/>
      <c r="AFN44" s="292"/>
      <c r="AFO44" s="292"/>
      <c r="AFP44" s="292"/>
      <c r="AFQ44" s="291"/>
      <c r="AFR44" s="292"/>
      <c r="AFS44" s="292"/>
      <c r="AFT44" s="292"/>
      <c r="AFU44" s="291"/>
      <c r="AFV44" s="292"/>
      <c r="AFW44" s="292"/>
      <c r="AFX44" s="292"/>
      <c r="AFY44" s="291"/>
      <c r="AFZ44" s="292"/>
      <c r="AGA44" s="292"/>
      <c r="AGB44" s="292"/>
      <c r="AGC44" s="291"/>
      <c r="AGD44" s="292"/>
      <c r="AGE44" s="292"/>
      <c r="AGF44" s="292"/>
      <c r="AGG44" s="291"/>
      <c r="AGH44" s="292"/>
      <c r="AGI44" s="292"/>
      <c r="AGJ44" s="292"/>
      <c r="AGK44" s="291"/>
      <c r="AGL44" s="292"/>
      <c r="AGM44" s="292"/>
      <c r="AGN44" s="292"/>
      <c r="AGO44" s="291"/>
      <c r="AGP44" s="292"/>
      <c r="AGQ44" s="292"/>
      <c r="AGR44" s="292"/>
      <c r="AGS44" s="291"/>
      <c r="AGT44" s="292"/>
      <c r="AGU44" s="292"/>
      <c r="AGV44" s="292"/>
      <c r="AGW44" s="291"/>
      <c r="AGX44" s="292"/>
      <c r="AGY44" s="292"/>
      <c r="AGZ44" s="292"/>
      <c r="AHA44" s="291"/>
      <c r="AHB44" s="292"/>
      <c r="AHC44" s="292"/>
      <c r="AHD44" s="292"/>
      <c r="AHE44" s="291"/>
      <c r="AHF44" s="292"/>
      <c r="AHG44" s="292"/>
      <c r="AHH44" s="292"/>
      <c r="AHI44" s="291"/>
      <c r="AHJ44" s="292"/>
      <c r="AHK44" s="292"/>
      <c r="AHL44" s="292"/>
      <c r="AHM44" s="291"/>
      <c r="AHN44" s="292"/>
      <c r="AHO44" s="292"/>
      <c r="AHP44" s="292"/>
      <c r="AHQ44" s="291"/>
      <c r="AHR44" s="292"/>
      <c r="AHS44" s="292"/>
      <c r="AHT44" s="292"/>
      <c r="AHU44" s="291"/>
      <c r="AHV44" s="292"/>
      <c r="AHW44" s="292"/>
      <c r="AHX44" s="292"/>
      <c r="AHY44" s="291"/>
      <c r="AHZ44" s="292"/>
      <c r="AIA44" s="292"/>
      <c r="AIB44" s="292"/>
      <c r="AIC44" s="291"/>
      <c r="AID44" s="292"/>
      <c r="AIE44" s="292"/>
      <c r="AIF44" s="292"/>
      <c r="AIG44" s="291"/>
      <c r="AIH44" s="292"/>
      <c r="AII44" s="292"/>
      <c r="AIJ44" s="292"/>
      <c r="AIK44" s="291"/>
      <c r="AIL44" s="292"/>
      <c r="AIM44" s="292"/>
      <c r="AIN44" s="292"/>
      <c r="AIO44" s="291"/>
      <c r="AIP44" s="292"/>
      <c r="AIQ44" s="292"/>
      <c r="AIR44" s="292"/>
      <c r="AIS44" s="291"/>
      <c r="AIT44" s="292"/>
      <c r="AIU44" s="292"/>
      <c r="AIV44" s="292"/>
      <c r="AIW44" s="291"/>
      <c r="AIX44" s="292"/>
      <c r="AIY44" s="292"/>
      <c r="AIZ44" s="292"/>
      <c r="AJA44" s="291"/>
      <c r="AJB44" s="292"/>
      <c r="AJC44" s="292"/>
      <c r="AJD44" s="292"/>
      <c r="AJE44" s="291"/>
      <c r="AJF44" s="292"/>
      <c r="AJG44" s="292"/>
      <c r="AJH44" s="292"/>
      <c r="AJI44" s="291"/>
      <c r="AJJ44" s="292"/>
      <c r="AJK44" s="292"/>
      <c r="AJL44" s="292"/>
      <c r="AJM44" s="291"/>
      <c r="AJN44" s="292"/>
      <c r="AJO44" s="292"/>
      <c r="AJP44" s="292"/>
      <c r="AJQ44" s="291"/>
      <c r="AJR44" s="292"/>
      <c r="AJS44" s="292"/>
      <c r="AJT44" s="292"/>
      <c r="AJU44" s="291"/>
      <c r="AJV44" s="292"/>
      <c r="AJW44" s="292"/>
      <c r="AJX44" s="292"/>
      <c r="AJY44" s="291"/>
      <c r="AJZ44" s="292"/>
      <c r="AKA44" s="292"/>
      <c r="AKB44" s="292"/>
      <c r="AKC44" s="291"/>
      <c r="AKD44" s="292"/>
      <c r="AKE44" s="292"/>
      <c r="AKF44" s="292"/>
      <c r="AKG44" s="291"/>
      <c r="AKH44" s="292"/>
      <c r="AKI44" s="292"/>
      <c r="AKJ44" s="292"/>
      <c r="AKK44" s="291"/>
      <c r="AKL44" s="292"/>
      <c r="AKM44" s="292"/>
      <c r="AKN44" s="292"/>
      <c r="AKO44" s="291"/>
      <c r="AKP44" s="292"/>
      <c r="AKQ44" s="292"/>
      <c r="AKR44" s="292"/>
      <c r="AKS44" s="291"/>
      <c r="AKT44" s="292"/>
      <c r="AKU44" s="292"/>
      <c r="AKV44" s="292"/>
      <c r="AKW44" s="291"/>
      <c r="AKX44" s="292"/>
      <c r="AKY44" s="292"/>
      <c r="AKZ44" s="292"/>
      <c r="ALA44" s="291"/>
      <c r="ALB44" s="292"/>
      <c r="ALC44" s="292"/>
      <c r="ALD44" s="292"/>
      <c r="ALE44" s="291"/>
      <c r="ALF44" s="292"/>
      <c r="ALG44" s="292"/>
      <c r="ALH44" s="292"/>
      <c r="ALI44" s="291"/>
      <c r="ALJ44" s="292"/>
      <c r="ALK44" s="292"/>
      <c r="ALL44" s="292"/>
      <c r="ALM44" s="291"/>
      <c r="ALN44" s="292"/>
      <c r="ALO44" s="292"/>
      <c r="ALP44" s="292"/>
      <c r="ALQ44" s="291"/>
      <c r="ALR44" s="292"/>
      <c r="ALS44" s="292"/>
      <c r="ALT44" s="292"/>
      <c r="ALU44" s="291"/>
      <c r="ALV44" s="292"/>
      <c r="ALW44" s="292"/>
      <c r="ALX44" s="292"/>
      <c r="ALY44" s="291"/>
      <c r="ALZ44" s="292"/>
      <c r="AMA44" s="292"/>
      <c r="AMB44" s="292"/>
      <c r="AMC44" s="291"/>
      <c r="AMD44" s="292"/>
      <c r="AME44" s="292"/>
      <c r="AMF44" s="292"/>
      <c r="AMG44" s="291"/>
      <c r="AMH44" s="292"/>
      <c r="AMI44" s="292"/>
      <c r="AMJ44" s="292"/>
      <c r="AMK44" s="291"/>
      <c r="AML44" s="292"/>
      <c r="AMM44" s="292"/>
      <c r="AMN44" s="292"/>
      <c r="AMO44" s="291"/>
      <c r="AMP44" s="292"/>
      <c r="AMQ44" s="292"/>
      <c r="AMR44" s="292"/>
      <c r="AMS44" s="291"/>
      <c r="AMT44" s="292"/>
      <c r="AMU44" s="292"/>
      <c r="AMV44" s="292"/>
      <c r="AMW44" s="291"/>
      <c r="AMX44" s="292"/>
      <c r="AMY44" s="292"/>
      <c r="AMZ44" s="292"/>
      <c r="ANA44" s="291"/>
      <c r="ANB44" s="292"/>
      <c r="ANC44" s="292"/>
      <c r="AND44" s="292"/>
      <c r="ANE44" s="291"/>
      <c r="ANF44" s="292"/>
      <c r="ANG44" s="292"/>
      <c r="ANH44" s="292"/>
      <c r="ANI44" s="291"/>
      <c r="ANJ44" s="292"/>
      <c r="ANK44" s="292"/>
      <c r="ANL44" s="292"/>
      <c r="ANM44" s="291"/>
      <c r="ANN44" s="292"/>
      <c r="ANO44" s="292"/>
      <c r="ANP44" s="292"/>
      <c r="ANQ44" s="291"/>
      <c r="ANR44" s="292"/>
      <c r="ANS44" s="292"/>
      <c r="ANT44" s="292"/>
      <c r="ANU44" s="291"/>
      <c r="ANV44" s="292"/>
      <c r="ANW44" s="292"/>
      <c r="ANX44" s="292"/>
      <c r="ANY44" s="291"/>
      <c r="ANZ44" s="292"/>
      <c r="AOA44" s="292"/>
      <c r="AOB44" s="292"/>
      <c r="AOC44" s="291"/>
      <c r="AOD44" s="292"/>
      <c r="AOE44" s="292"/>
      <c r="AOF44" s="292"/>
      <c r="AOG44" s="291"/>
      <c r="AOH44" s="292"/>
      <c r="AOI44" s="292"/>
      <c r="AOJ44" s="292"/>
      <c r="AOK44" s="291"/>
      <c r="AOL44" s="292"/>
      <c r="AOM44" s="292"/>
      <c r="AON44" s="292"/>
      <c r="AOO44" s="291"/>
      <c r="AOP44" s="292"/>
      <c r="AOQ44" s="292"/>
      <c r="AOR44" s="292"/>
      <c r="AOS44" s="291"/>
      <c r="AOT44" s="292"/>
      <c r="AOU44" s="292"/>
      <c r="AOV44" s="292"/>
      <c r="AOW44" s="291"/>
      <c r="AOX44" s="292"/>
      <c r="AOY44" s="292"/>
      <c r="AOZ44" s="292"/>
      <c r="APA44" s="291"/>
      <c r="APB44" s="292"/>
      <c r="APC44" s="292"/>
      <c r="APD44" s="292"/>
      <c r="APE44" s="291"/>
      <c r="APF44" s="292"/>
      <c r="APG44" s="292"/>
      <c r="APH44" s="292"/>
      <c r="API44" s="291"/>
      <c r="APJ44" s="292"/>
      <c r="APK44" s="292"/>
      <c r="APL44" s="292"/>
      <c r="APM44" s="291"/>
      <c r="APN44" s="292"/>
      <c r="APO44" s="292"/>
      <c r="APP44" s="292"/>
      <c r="APQ44" s="291"/>
      <c r="APR44" s="292"/>
      <c r="APS44" s="292"/>
      <c r="APT44" s="292"/>
      <c r="APU44" s="291"/>
      <c r="APV44" s="292"/>
      <c r="APW44" s="292"/>
      <c r="APX44" s="292"/>
      <c r="APY44" s="291"/>
      <c r="APZ44" s="292"/>
      <c r="AQA44" s="292"/>
      <c r="AQB44" s="292"/>
      <c r="AQC44" s="291"/>
      <c r="AQD44" s="292"/>
      <c r="AQE44" s="292"/>
      <c r="AQF44" s="292"/>
      <c r="AQG44" s="291"/>
      <c r="AQH44" s="292"/>
      <c r="AQI44" s="292"/>
      <c r="AQJ44" s="292"/>
      <c r="AQK44" s="291"/>
      <c r="AQL44" s="292"/>
      <c r="AQM44" s="292"/>
      <c r="AQN44" s="292"/>
      <c r="AQO44" s="291"/>
      <c r="AQP44" s="292"/>
      <c r="AQQ44" s="292"/>
      <c r="AQR44" s="292"/>
      <c r="AQS44" s="291"/>
      <c r="AQT44" s="292"/>
      <c r="AQU44" s="292"/>
      <c r="AQV44" s="292"/>
      <c r="AQW44" s="291"/>
      <c r="AQX44" s="292"/>
      <c r="AQY44" s="292"/>
      <c r="AQZ44" s="292"/>
      <c r="ARA44" s="291"/>
      <c r="ARB44" s="292"/>
      <c r="ARC44" s="292"/>
      <c r="ARD44" s="292"/>
      <c r="ARE44" s="291"/>
      <c r="ARF44" s="292"/>
      <c r="ARG44" s="292"/>
      <c r="ARH44" s="292"/>
      <c r="ARI44" s="291"/>
      <c r="ARJ44" s="292"/>
      <c r="ARK44" s="292"/>
      <c r="ARL44" s="292"/>
      <c r="ARM44" s="291"/>
      <c r="ARN44" s="292"/>
      <c r="ARO44" s="292"/>
      <c r="ARP44" s="292"/>
      <c r="ARQ44" s="291"/>
      <c r="ARR44" s="292"/>
      <c r="ARS44" s="292"/>
      <c r="ART44" s="292"/>
      <c r="ARU44" s="291"/>
      <c r="ARV44" s="292"/>
      <c r="ARW44" s="292"/>
      <c r="ARX44" s="292"/>
      <c r="ARY44" s="291"/>
      <c r="ARZ44" s="292"/>
      <c r="ASA44" s="292"/>
      <c r="ASB44" s="292"/>
      <c r="ASC44" s="291"/>
      <c r="ASD44" s="292"/>
      <c r="ASE44" s="292"/>
      <c r="ASF44" s="292"/>
      <c r="ASG44" s="291"/>
      <c r="ASH44" s="292"/>
      <c r="ASI44" s="292"/>
      <c r="ASJ44" s="292"/>
      <c r="ASK44" s="291"/>
      <c r="ASL44" s="292"/>
      <c r="ASM44" s="292"/>
      <c r="ASN44" s="292"/>
      <c r="ASO44" s="291"/>
      <c r="ASP44" s="292"/>
      <c r="ASQ44" s="292"/>
      <c r="ASR44" s="292"/>
      <c r="ASS44" s="291"/>
      <c r="AST44" s="292"/>
      <c r="ASU44" s="292"/>
      <c r="ASV44" s="292"/>
      <c r="ASW44" s="291"/>
      <c r="ASX44" s="292"/>
      <c r="ASY44" s="292"/>
      <c r="ASZ44" s="292"/>
      <c r="ATA44" s="291"/>
      <c r="ATB44" s="292"/>
      <c r="ATC44" s="292"/>
      <c r="ATD44" s="292"/>
      <c r="ATE44" s="291"/>
      <c r="ATF44" s="292"/>
      <c r="ATG44" s="292"/>
      <c r="ATH44" s="292"/>
      <c r="ATI44" s="291"/>
      <c r="ATJ44" s="292"/>
      <c r="ATK44" s="292"/>
      <c r="ATL44" s="292"/>
      <c r="ATM44" s="291"/>
      <c r="ATN44" s="292"/>
      <c r="ATO44" s="292"/>
      <c r="ATP44" s="292"/>
      <c r="ATQ44" s="291"/>
      <c r="ATR44" s="292"/>
      <c r="ATS44" s="292"/>
      <c r="ATT44" s="292"/>
      <c r="ATU44" s="291"/>
      <c r="ATV44" s="292"/>
      <c r="ATW44" s="292"/>
      <c r="ATX44" s="292"/>
      <c r="ATY44" s="291"/>
      <c r="ATZ44" s="292"/>
      <c r="AUA44" s="292"/>
      <c r="AUB44" s="292"/>
      <c r="AUC44" s="291"/>
      <c r="AUD44" s="292"/>
      <c r="AUE44" s="292"/>
      <c r="AUF44" s="292"/>
      <c r="AUG44" s="291"/>
      <c r="AUH44" s="292"/>
      <c r="AUI44" s="292"/>
      <c r="AUJ44" s="292"/>
      <c r="AUK44" s="291"/>
      <c r="AUL44" s="292"/>
      <c r="AUM44" s="292"/>
      <c r="AUN44" s="292"/>
      <c r="AUO44" s="291"/>
      <c r="AUP44" s="292"/>
      <c r="AUQ44" s="292"/>
      <c r="AUR44" s="292"/>
      <c r="AUS44" s="291"/>
      <c r="AUT44" s="292"/>
      <c r="AUU44" s="292"/>
      <c r="AUV44" s="292"/>
      <c r="AUW44" s="291"/>
      <c r="AUX44" s="292"/>
      <c r="AUY44" s="292"/>
      <c r="AUZ44" s="292"/>
      <c r="AVA44" s="291"/>
      <c r="AVB44" s="292"/>
      <c r="AVC44" s="292"/>
      <c r="AVD44" s="292"/>
      <c r="AVE44" s="291"/>
      <c r="AVF44" s="292"/>
      <c r="AVG44" s="292"/>
      <c r="AVH44" s="292"/>
      <c r="AVI44" s="291"/>
      <c r="AVJ44" s="292"/>
      <c r="AVK44" s="292"/>
      <c r="AVL44" s="292"/>
      <c r="AVM44" s="291"/>
      <c r="AVN44" s="292"/>
      <c r="AVO44" s="292"/>
      <c r="AVP44" s="292"/>
      <c r="AVQ44" s="291"/>
      <c r="AVR44" s="292"/>
      <c r="AVS44" s="292"/>
      <c r="AVT44" s="292"/>
      <c r="AVU44" s="291"/>
      <c r="AVV44" s="292"/>
      <c r="AVW44" s="292"/>
      <c r="AVX44" s="292"/>
      <c r="AVY44" s="291"/>
      <c r="AVZ44" s="292"/>
      <c r="AWA44" s="292"/>
      <c r="AWB44" s="292"/>
      <c r="AWC44" s="291"/>
      <c r="AWD44" s="292"/>
      <c r="AWE44" s="292"/>
      <c r="AWF44" s="292"/>
      <c r="AWG44" s="291"/>
      <c r="AWH44" s="292"/>
      <c r="AWI44" s="292"/>
      <c r="AWJ44" s="292"/>
      <c r="AWK44" s="291"/>
      <c r="AWL44" s="292"/>
      <c r="AWM44" s="292"/>
      <c r="AWN44" s="292"/>
      <c r="AWO44" s="291"/>
      <c r="AWP44" s="292"/>
      <c r="AWQ44" s="292"/>
      <c r="AWR44" s="292"/>
      <c r="AWS44" s="291"/>
      <c r="AWT44" s="292"/>
      <c r="AWU44" s="292"/>
      <c r="AWV44" s="292"/>
      <c r="AWW44" s="291"/>
      <c r="AWX44" s="292"/>
      <c r="AWY44" s="292"/>
      <c r="AWZ44" s="292"/>
      <c r="AXA44" s="291"/>
      <c r="AXB44" s="292"/>
      <c r="AXC44" s="292"/>
      <c r="AXD44" s="292"/>
      <c r="AXE44" s="291"/>
      <c r="AXF44" s="292"/>
      <c r="AXG44" s="292"/>
      <c r="AXH44" s="292"/>
      <c r="AXI44" s="291"/>
      <c r="AXJ44" s="292"/>
      <c r="AXK44" s="292"/>
      <c r="AXL44" s="292"/>
      <c r="AXM44" s="291"/>
      <c r="AXN44" s="292"/>
      <c r="AXO44" s="292"/>
      <c r="AXP44" s="292"/>
      <c r="AXQ44" s="291"/>
      <c r="AXR44" s="292"/>
      <c r="AXS44" s="292"/>
      <c r="AXT44" s="292"/>
      <c r="AXU44" s="291"/>
      <c r="AXV44" s="292"/>
      <c r="AXW44" s="292"/>
      <c r="AXX44" s="292"/>
      <c r="AXY44" s="291"/>
      <c r="AXZ44" s="292"/>
      <c r="AYA44" s="292"/>
      <c r="AYB44" s="292"/>
      <c r="AYC44" s="291"/>
      <c r="AYD44" s="292"/>
      <c r="AYE44" s="292"/>
      <c r="AYF44" s="292"/>
      <c r="AYG44" s="291"/>
      <c r="AYH44" s="292"/>
      <c r="AYI44" s="292"/>
      <c r="AYJ44" s="292"/>
      <c r="AYK44" s="291"/>
      <c r="AYL44" s="292"/>
      <c r="AYM44" s="292"/>
      <c r="AYN44" s="292"/>
      <c r="AYO44" s="291"/>
      <c r="AYP44" s="292"/>
      <c r="AYQ44" s="292"/>
      <c r="AYR44" s="292"/>
      <c r="AYS44" s="291"/>
      <c r="AYT44" s="292"/>
      <c r="AYU44" s="292"/>
      <c r="AYV44" s="292"/>
      <c r="AYW44" s="291"/>
      <c r="AYX44" s="292"/>
      <c r="AYY44" s="292"/>
      <c r="AYZ44" s="292"/>
      <c r="AZA44" s="291"/>
      <c r="AZB44" s="292"/>
      <c r="AZC44" s="292"/>
      <c r="AZD44" s="292"/>
      <c r="AZE44" s="291"/>
      <c r="AZF44" s="292"/>
      <c r="AZG44" s="292"/>
      <c r="AZH44" s="292"/>
      <c r="AZI44" s="291"/>
      <c r="AZJ44" s="292"/>
      <c r="AZK44" s="292"/>
      <c r="AZL44" s="292"/>
      <c r="AZM44" s="291"/>
      <c r="AZN44" s="292"/>
      <c r="AZO44" s="292"/>
      <c r="AZP44" s="292"/>
      <c r="AZQ44" s="291"/>
      <c r="AZR44" s="292"/>
      <c r="AZS44" s="292"/>
      <c r="AZT44" s="292"/>
      <c r="AZU44" s="291"/>
      <c r="AZV44" s="292"/>
      <c r="AZW44" s="292"/>
      <c r="AZX44" s="292"/>
      <c r="AZY44" s="291"/>
      <c r="AZZ44" s="292"/>
      <c r="BAA44" s="292"/>
      <c r="BAB44" s="292"/>
      <c r="BAC44" s="291"/>
      <c r="BAD44" s="292"/>
      <c r="BAE44" s="292"/>
      <c r="BAF44" s="292"/>
      <c r="BAG44" s="291"/>
      <c r="BAH44" s="292"/>
      <c r="BAI44" s="292"/>
      <c r="BAJ44" s="292"/>
      <c r="BAK44" s="291"/>
      <c r="BAL44" s="292"/>
      <c r="BAM44" s="292"/>
      <c r="BAN44" s="292"/>
      <c r="BAO44" s="291"/>
      <c r="BAP44" s="292"/>
      <c r="BAQ44" s="292"/>
      <c r="BAR44" s="292"/>
      <c r="BAS44" s="291"/>
      <c r="BAT44" s="292"/>
      <c r="BAU44" s="292"/>
      <c r="BAV44" s="292"/>
      <c r="BAW44" s="291"/>
      <c r="BAX44" s="292"/>
      <c r="BAY44" s="292"/>
      <c r="BAZ44" s="292"/>
      <c r="BBA44" s="291"/>
      <c r="BBB44" s="292"/>
      <c r="BBC44" s="292"/>
      <c r="BBD44" s="292"/>
      <c r="BBE44" s="291"/>
      <c r="BBF44" s="292"/>
      <c r="BBG44" s="292"/>
      <c r="BBH44" s="292"/>
      <c r="BBI44" s="291"/>
      <c r="BBJ44" s="292"/>
      <c r="BBK44" s="292"/>
      <c r="BBL44" s="292"/>
      <c r="BBM44" s="291"/>
      <c r="BBN44" s="292"/>
      <c r="BBO44" s="292"/>
      <c r="BBP44" s="292"/>
      <c r="BBQ44" s="291"/>
      <c r="BBR44" s="292"/>
      <c r="BBS44" s="292"/>
      <c r="BBT44" s="292"/>
      <c r="BBU44" s="291"/>
      <c r="BBV44" s="292"/>
      <c r="BBW44" s="292"/>
      <c r="BBX44" s="292"/>
      <c r="BBY44" s="291"/>
      <c r="BBZ44" s="292"/>
      <c r="BCA44" s="292"/>
      <c r="BCB44" s="292"/>
      <c r="BCC44" s="291"/>
      <c r="BCD44" s="292"/>
      <c r="BCE44" s="292"/>
      <c r="BCF44" s="292"/>
      <c r="BCG44" s="291"/>
      <c r="BCH44" s="292"/>
      <c r="BCI44" s="292"/>
      <c r="BCJ44" s="292"/>
      <c r="BCK44" s="291"/>
      <c r="BCL44" s="292"/>
      <c r="BCM44" s="292"/>
      <c r="BCN44" s="292"/>
      <c r="BCO44" s="291"/>
      <c r="BCP44" s="292"/>
      <c r="BCQ44" s="292"/>
      <c r="BCR44" s="292"/>
      <c r="BCS44" s="291"/>
      <c r="BCT44" s="292"/>
      <c r="BCU44" s="292"/>
      <c r="BCV44" s="292"/>
      <c r="BCW44" s="291"/>
      <c r="BCX44" s="292"/>
      <c r="BCY44" s="292"/>
      <c r="BCZ44" s="292"/>
      <c r="BDA44" s="291"/>
      <c r="BDB44" s="292"/>
      <c r="BDC44" s="292"/>
      <c r="BDD44" s="292"/>
      <c r="BDE44" s="291"/>
      <c r="BDF44" s="292"/>
      <c r="BDG44" s="292"/>
      <c r="BDH44" s="292"/>
      <c r="BDI44" s="291"/>
      <c r="BDJ44" s="292"/>
      <c r="BDK44" s="292"/>
      <c r="BDL44" s="292"/>
      <c r="BDM44" s="291"/>
      <c r="BDN44" s="292"/>
      <c r="BDO44" s="292"/>
      <c r="BDP44" s="292"/>
      <c r="BDQ44" s="291"/>
      <c r="BDR44" s="292"/>
      <c r="BDS44" s="292"/>
      <c r="BDT44" s="292"/>
      <c r="BDU44" s="291"/>
      <c r="BDV44" s="292"/>
      <c r="BDW44" s="292"/>
      <c r="BDX44" s="292"/>
      <c r="BDY44" s="291"/>
      <c r="BDZ44" s="292"/>
      <c r="BEA44" s="292"/>
      <c r="BEB44" s="292"/>
      <c r="BEC44" s="291"/>
      <c r="BED44" s="292"/>
      <c r="BEE44" s="292"/>
      <c r="BEF44" s="292"/>
      <c r="BEG44" s="291"/>
      <c r="BEH44" s="292"/>
      <c r="BEI44" s="292"/>
      <c r="BEJ44" s="292"/>
      <c r="BEK44" s="291"/>
      <c r="BEL44" s="292"/>
      <c r="BEM44" s="292"/>
      <c r="BEN44" s="292"/>
      <c r="BEO44" s="291"/>
      <c r="BEP44" s="292"/>
      <c r="BEQ44" s="292"/>
      <c r="BER44" s="292"/>
      <c r="BES44" s="291"/>
      <c r="BET44" s="292"/>
      <c r="BEU44" s="292"/>
      <c r="BEV44" s="292"/>
      <c r="BEW44" s="291"/>
      <c r="BEX44" s="292"/>
      <c r="BEY44" s="292"/>
      <c r="BEZ44" s="292"/>
      <c r="BFA44" s="291"/>
      <c r="BFB44" s="292"/>
      <c r="BFC44" s="292"/>
      <c r="BFD44" s="292"/>
      <c r="BFE44" s="291"/>
      <c r="BFF44" s="292"/>
      <c r="BFG44" s="292"/>
      <c r="BFH44" s="292"/>
      <c r="BFI44" s="291"/>
      <c r="BFJ44" s="292"/>
      <c r="BFK44" s="292"/>
      <c r="BFL44" s="292"/>
      <c r="BFM44" s="291"/>
      <c r="BFN44" s="292"/>
      <c r="BFO44" s="292"/>
      <c r="BFP44" s="292"/>
      <c r="BFQ44" s="291"/>
      <c r="BFR44" s="292"/>
      <c r="BFS44" s="292"/>
      <c r="BFT44" s="292"/>
      <c r="BFU44" s="291"/>
      <c r="BFV44" s="292"/>
      <c r="BFW44" s="292"/>
      <c r="BFX44" s="292"/>
      <c r="BFY44" s="291"/>
      <c r="BFZ44" s="292"/>
      <c r="BGA44" s="292"/>
      <c r="BGB44" s="292"/>
      <c r="BGC44" s="291"/>
      <c r="BGD44" s="292"/>
      <c r="BGE44" s="292"/>
      <c r="BGF44" s="292"/>
      <c r="BGG44" s="291"/>
      <c r="BGH44" s="292"/>
      <c r="BGI44" s="292"/>
      <c r="BGJ44" s="292"/>
      <c r="BGK44" s="291"/>
      <c r="BGL44" s="292"/>
      <c r="BGM44" s="292"/>
      <c r="BGN44" s="292"/>
      <c r="BGO44" s="291"/>
      <c r="BGP44" s="292"/>
      <c r="BGQ44" s="292"/>
      <c r="BGR44" s="292"/>
      <c r="BGS44" s="291"/>
      <c r="BGT44" s="292"/>
      <c r="BGU44" s="292"/>
      <c r="BGV44" s="292"/>
      <c r="BGW44" s="291"/>
      <c r="BGX44" s="292"/>
      <c r="BGY44" s="292"/>
      <c r="BGZ44" s="292"/>
      <c r="BHA44" s="291"/>
      <c r="BHB44" s="292"/>
      <c r="BHC44" s="292"/>
      <c r="BHD44" s="292"/>
      <c r="BHE44" s="291"/>
      <c r="BHF44" s="292"/>
      <c r="BHG44" s="292"/>
      <c r="BHH44" s="292"/>
      <c r="BHI44" s="291"/>
      <c r="BHJ44" s="292"/>
      <c r="BHK44" s="292"/>
      <c r="BHL44" s="292"/>
      <c r="BHM44" s="291"/>
      <c r="BHN44" s="292"/>
      <c r="BHO44" s="292"/>
      <c r="BHP44" s="292"/>
      <c r="BHQ44" s="291"/>
      <c r="BHR44" s="292"/>
      <c r="BHS44" s="292"/>
      <c r="BHT44" s="292"/>
      <c r="BHU44" s="291"/>
      <c r="BHV44" s="292"/>
      <c r="BHW44" s="292"/>
      <c r="BHX44" s="292"/>
      <c r="BHY44" s="291"/>
      <c r="BHZ44" s="292"/>
      <c r="BIA44" s="292"/>
      <c r="BIB44" s="292"/>
      <c r="BIC44" s="291"/>
      <c r="BID44" s="292"/>
      <c r="BIE44" s="292"/>
      <c r="BIF44" s="292"/>
      <c r="BIG44" s="291"/>
      <c r="BIH44" s="292"/>
      <c r="BII44" s="292"/>
      <c r="BIJ44" s="292"/>
      <c r="BIK44" s="291"/>
      <c r="BIL44" s="292"/>
      <c r="BIM44" s="292"/>
      <c r="BIN44" s="292"/>
      <c r="BIO44" s="291"/>
      <c r="BIP44" s="292"/>
      <c r="BIQ44" s="292"/>
      <c r="BIR44" s="292"/>
      <c r="BIS44" s="291"/>
      <c r="BIT44" s="292"/>
      <c r="BIU44" s="292"/>
      <c r="BIV44" s="292"/>
      <c r="BIW44" s="291"/>
      <c r="BIX44" s="292"/>
      <c r="BIY44" s="292"/>
      <c r="BIZ44" s="292"/>
      <c r="BJA44" s="291"/>
      <c r="BJB44" s="292"/>
      <c r="BJC44" s="292"/>
      <c r="BJD44" s="292"/>
      <c r="BJE44" s="291"/>
      <c r="BJF44" s="292"/>
      <c r="BJG44" s="292"/>
      <c r="BJH44" s="292"/>
      <c r="BJI44" s="291"/>
      <c r="BJJ44" s="292"/>
      <c r="BJK44" s="292"/>
      <c r="BJL44" s="292"/>
      <c r="BJM44" s="291"/>
      <c r="BJN44" s="292"/>
      <c r="BJO44" s="292"/>
      <c r="BJP44" s="292"/>
      <c r="BJQ44" s="291"/>
      <c r="BJR44" s="292"/>
      <c r="BJS44" s="292"/>
      <c r="BJT44" s="292"/>
      <c r="BJU44" s="291"/>
      <c r="BJV44" s="292"/>
      <c r="BJW44" s="292"/>
      <c r="BJX44" s="292"/>
      <c r="BJY44" s="291"/>
      <c r="BJZ44" s="292"/>
      <c r="BKA44" s="292"/>
      <c r="BKB44" s="292"/>
      <c r="BKC44" s="291"/>
      <c r="BKD44" s="292"/>
      <c r="BKE44" s="292"/>
      <c r="BKF44" s="292"/>
      <c r="BKG44" s="291"/>
      <c r="BKH44" s="292"/>
      <c r="BKI44" s="292"/>
      <c r="BKJ44" s="292"/>
      <c r="BKK44" s="291"/>
      <c r="BKL44" s="292"/>
      <c r="BKM44" s="292"/>
      <c r="BKN44" s="292"/>
      <c r="BKO44" s="291"/>
      <c r="BKP44" s="292"/>
      <c r="BKQ44" s="292"/>
      <c r="BKR44" s="292"/>
      <c r="BKS44" s="291"/>
      <c r="BKT44" s="292"/>
      <c r="BKU44" s="292"/>
      <c r="BKV44" s="292"/>
      <c r="BKW44" s="291"/>
      <c r="BKX44" s="292"/>
      <c r="BKY44" s="292"/>
      <c r="BKZ44" s="292"/>
      <c r="BLA44" s="291"/>
      <c r="BLB44" s="292"/>
      <c r="BLC44" s="292"/>
      <c r="BLD44" s="292"/>
      <c r="BLE44" s="291"/>
      <c r="BLF44" s="292"/>
      <c r="BLG44" s="292"/>
      <c r="BLH44" s="292"/>
      <c r="BLI44" s="291"/>
      <c r="BLJ44" s="292"/>
      <c r="BLK44" s="292"/>
      <c r="BLL44" s="292"/>
      <c r="BLM44" s="291"/>
      <c r="BLN44" s="292"/>
      <c r="BLO44" s="292"/>
      <c r="BLP44" s="292"/>
      <c r="BLQ44" s="291"/>
      <c r="BLR44" s="292"/>
      <c r="BLS44" s="292"/>
      <c r="BLT44" s="292"/>
      <c r="BLU44" s="291"/>
      <c r="BLV44" s="292"/>
      <c r="BLW44" s="292"/>
      <c r="BLX44" s="292"/>
      <c r="BLY44" s="291"/>
      <c r="BLZ44" s="292"/>
      <c r="BMA44" s="292"/>
      <c r="BMB44" s="292"/>
      <c r="BMC44" s="291"/>
      <c r="BMD44" s="292"/>
      <c r="BME44" s="292"/>
      <c r="BMF44" s="292"/>
      <c r="BMG44" s="291"/>
      <c r="BMH44" s="292"/>
      <c r="BMI44" s="292"/>
      <c r="BMJ44" s="292"/>
      <c r="BMK44" s="291"/>
      <c r="BML44" s="292"/>
      <c r="BMM44" s="292"/>
      <c r="BMN44" s="292"/>
      <c r="BMO44" s="291"/>
      <c r="BMP44" s="292"/>
      <c r="BMQ44" s="292"/>
      <c r="BMR44" s="292"/>
      <c r="BMS44" s="291"/>
      <c r="BMT44" s="292"/>
      <c r="BMU44" s="292"/>
      <c r="BMV44" s="292"/>
      <c r="BMW44" s="291"/>
      <c r="BMX44" s="292"/>
      <c r="BMY44" s="292"/>
      <c r="BMZ44" s="292"/>
      <c r="BNA44" s="291"/>
      <c r="BNB44" s="292"/>
      <c r="BNC44" s="292"/>
      <c r="BND44" s="292"/>
      <c r="BNE44" s="291"/>
      <c r="BNF44" s="292"/>
      <c r="BNG44" s="292"/>
      <c r="BNH44" s="292"/>
      <c r="BNI44" s="291"/>
      <c r="BNJ44" s="292"/>
      <c r="BNK44" s="292"/>
      <c r="BNL44" s="292"/>
      <c r="BNM44" s="291"/>
      <c r="BNN44" s="292"/>
      <c r="BNO44" s="292"/>
      <c r="BNP44" s="292"/>
      <c r="BNQ44" s="291"/>
      <c r="BNR44" s="292"/>
      <c r="BNS44" s="292"/>
      <c r="BNT44" s="292"/>
      <c r="BNU44" s="291"/>
      <c r="BNV44" s="292"/>
      <c r="BNW44" s="292"/>
      <c r="BNX44" s="292"/>
      <c r="BNY44" s="291"/>
      <c r="BNZ44" s="292"/>
      <c r="BOA44" s="292"/>
      <c r="BOB44" s="292"/>
      <c r="BOC44" s="291"/>
      <c r="BOD44" s="292"/>
      <c r="BOE44" s="292"/>
      <c r="BOF44" s="292"/>
      <c r="BOG44" s="291"/>
      <c r="BOH44" s="292"/>
      <c r="BOI44" s="292"/>
      <c r="BOJ44" s="292"/>
      <c r="BOK44" s="291"/>
      <c r="BOL44" s="292"/>
      <c r="BOM44" s="292"/>
      <c r="BON44" s="292"/>
      <c r="BOO44" s="291"/>
      <c r="BOP44" s="292"/>
      <c r="BOQ44" s="292"/>
      <c r="BOR44" s="292"/>
      <c r="BOS44" s="291"/>
      <c r="BOT44" s="292"/>
      <c r="BOU44" s="292"/>
      <c r="BOV44" s="292"/>
      <c r="BOW44" s="291"/>
      <c r="BOX44" s="292"/>
      <c r="BOY44" s="292"/>
      <c r="BOZ44" s="292"/>
      <c r="BPA44" s="291"/>
      <c r="BPB44" s="292"/>
      <c r="BPC44" s="292"/>
      <c r="BPD44" s="292"/>
      <c r="BPE44" s="291"/>
      <c r="BPF44" s="292"/>
      <c r="BPG44" s="292"/>
      <c r="BPH44" s="292"/>
      <c r="BPI44" s="291"/>
      <c r="BPJ44" s="292"/>
      <c r="BPK44" s="292"/>
      <c r="BPL44" s="292"/>
      <c r="BPM44" s="291"/>
      <c r="BPN44" s="292"/>
      <c r="BPO44" s="292"/>
      <c r="BPP44" s="292"/>
      <c r="BPQ44" s="291"/>
      <c r="BPR44" s="292"/>
      <c r="BPS44" s="292"/>
      <c r="BPT44" s="292"/>
      <c r="BPU44" s="291"/>
      <c r="BPV44" s="292"/>
      <c r="BPW44" s="292"/>
      <c r="BPX44" s="292"/>
      <c r="BPY44" s="291"/>
      <c r="BPZ44" s="292"/>
      <c r="BQA44" s="292"/>
      <c r="BQB44" s="292"/>
      <c r="BQC44" s="291"/>
      <c r="BQD44" s="292"/>
      <c r="BQE44" s="292"/>
      <c r="BQF44" s="292"/>
      <c r="BQG44" s="291"/>
      <c r="BQH44" s="292"/>
      <c r="BQI44" s="292"/>
      <c r="BQJ44" s="292"/>
      <c r="BQK44" s="291"/>
      <c r="BQL44" s="292"/>
      <c r="BQM44" s="292"/>
      <c r="BQN44" s="292"/>
      <c r="BQO44" s="291"/>
      <c r="BQP44" s="292"/>
      <c r="BQQ44" s="292"/>
      <c r="BQR44" s="292"/>
      <c r="BQS44" s="291"/>
      <c r="BQT44" s="292"/>
      <c r="BQU44" s="292"/>
      <c r="BQV44" s="292"/>
      <c r="BQW44" s="291"/>
      <c r="BQX44" s="292"/>
      <c r="BQY44" s="292"/>
      <c r="BQZ44" s="292"/>
      <c r="BRA44" s="291"/>
      <c r="BRB44" s="292"/>
      <c r="BRC44" s="292"/>
      <c r="BRD44" s="292"/>
      <c r="BRE44" s="291"/>
      <c r="BRF44" s="292"/>
      <c r="BRG44" s="292"/>
      <c r="BRH44" s="292"/>
      <c r="BRI44" s="291"/>
      <c r="BRJ44" s="292"/>
      <c r="BRK44" s="292"/>
      <c r="BRL44" s="292"/>
      <c r="BRM44" s="291"/>
      <c r="BRN44" s="292"/>
      <c r="BRO44" s="292"/>
      <c r="BRP44" s="292"/>
      <c r="BRQ44" s="291"/>
      <c r="BRR44" s="292"/>
      <c r="BRS44" s="292"/>
      <c r="BRT44" s="292"/>
      <c r="BRU44" s="291"/>
      <c r="BRV44" s="292"/>
      <c r="BRW44" s="292"/>
      <c r="BRX44" s="292"/>
      <c r="BRY44" s="291"/>
      <c r="BRZ44" s="292"/>
      <c r="BSA44" s="292"/>
      <c r="BSB44" s="292"/>
      <c r="BSC44" s="291"/>
      <c r="BSD44" s="292"/>
      <c r="BSE44" s="292"/>
      <c r="BSF44" s="292"/>
      <c r="BSG44" s="291"/>
      <c r="BSH44" s="292"/>
      <c r="BSI44" s="292"/>
      <c r="BSJ44" s="292"/>
      <c r="BSK44" s="291"/>
      <c r="BSL44" s="292"/>
      <c r="BSM44" s="292"/>
      <c r="BSN44" s="292"/>
      <c r="BSO44" s="291"/>
      <c r="BSP44" s="292"/>
      <c r="BSQ44" s="292"/>
      <c r="BSR44" s="292"/>
      <c r="BSS44" s="291"/>
      <c r="BST44" s="292"/>
      <c r="BSU44" s="292"/>
      <c r="BSV44" s="292"/>
      <c r="BSW44" s="291"/>
      <c r="BSX44" s="292"/>
      <c r="BSY44" s="292"/>
      <c r="BSZ44" s="292"/>
      <c r="BTA44" s="291"/>
      <c r="BTB44" s="292"/>
      <c r="BTC44" s="292"/>
      <c r="BTD44" s="292"/>
      <c r="BTE44" s="291"/>
      <c r="BTF44" s="292"/>
      <c r="BTG44" s="292"/>
      <c r="BTH44" s="292"/>
      <c r="BTI44" s="291"/>
      <c r="BTJ44" s="292"/>
      <c r="BTK44" s="292"/>
      <c r="BTL44" s="292"/>
      <c r="BTM44" s="291"/>
      <c r="BTN44" s="292"/>
      <c r="BTO44" s="292"/>
      <c r="BTP44" s="292"/>
      <c r="BTQ44" s="291"/>
      <c r="BTR44" s="292"/>
      <c r="BTS44" s="292"/>
      <c r="BTT44" s="292"/>
      <c r="BTU44" s="291"/>
      <c r="BTV44" s="292"/>
      <c r="BTW44" s="292"/>
      <c r="BTX44" s="292"/>
      <c r="BTY44" s="291"/>
      <c r="BTZ44" s="292"/>
      <c r="BUA44" s="292"/>
      <c r="BUB44" s="292"/>
      <c r="BUC44" s="291"/>
      <c r="BUD44" s="292"/>
      <c r="BUE44" s="292"/>
      <c r="BUF44" s="292"/>
      <c r="BUG44" s="291"/>
      <c r="BUH44" s="292"/>
      <c r="BUI44" s="292"/>
      <c r="BUJ44" s="292"/>
      <c r="BUK44" s="291"/>
      <c r="BUL44" s="292"/>
      <c r="BUM44" s="292"/>
      <c r="BUN44" s="292"/>
      <c r="BUO44" s="291"/>
      <c r="BUP44" s="292"/>
      <c r="BUQ44" s="292"/>
      <c r="BUR44" s="292"/>
      <c r="BUS44" s="291"/>
      <c r="BUT44" s="292"/>
      <c r="BUU44" s="292"/>
      <c r="BUV44" s="292"/>
      <c r="BUW44" s="291"/>
      <c r="BUX44" s="292"/>
      <c r="BUY44" s="292"/>
      <c r="BUZ44" s="292"/>
      <c r="BVA44" s="291"/>
      <c r="BVB44" s="292"/>
      <c r="BVC44" s="292"/>
      <c r="BVD44" s="292"/>
      <c r="BVE44" s="291"/>
      <c r="BVF44" s="292"/>
      <c r="BVG44" s="292"/>
      <c r="BVH44" s="292"/>
      <c r="BVI44" s="291"/>
      <c r="BVJ44" s="292"/>
      <c r="BVK44" s="292"/>
      <c r="BVL44" s="292"/>
      <c r="BVM44" s="291"/>
      <c r="BVN44" s="292"/>
      <c r="BVO44" s="292"/>
      <c r="BVP44" s="292"/>
      <c r="BVQ44" s="291"/>
      <c r="BVR44" s="292"/>
      <c r="BVS44" s="292"/>
      <c r="BVT44" s="292"/>
      <c r="BVU44" s="291"/>
      <c r="BVV44" s="292"/>
      <c r="BVW44" s="292"/>
      <c r="BVX44" s="292"/>
      <c r="BVY44" s="291"/>
      <c r="BVZ44" s="292"/>
      <c r="BWA44" s="292"/>
      <c r="BWB44" s="292"/>
      <c r="BWC44" s="291"/>
      <c r="BWD44" s="292"/>
      <c r="BWE44" s="292"/>
      <c r="BWF44" s="292"/>
      <c r="BWG44" s="291"/>
      <c r="BWH44" s="292"/>
      <c r="BWI44" s="292"/>
      <c r="BWJ44" s="292"/>
      <c r="BWK44" s="291"/>
      <c r="BWL44" s="292"/>
      <c r="BWM44" s="292"/>
      <c r="BWN44" s="292"/>
      <c r="BWO44" s="291"/>
      <c r="BWP44" s="292"/>
      <c r="BWQ44" s="292"/>
      <c r="BWR44" s="292"/>
      <c r="BWS44" s="291"/>
      <c r="BWT44" s="292"/>
      <c r="BWU44" s="292"/>
      <c r="BWV44" s="292"/>
      <c r="BWW44" s="291"/>
      <c r="BWX44" s="292"/>
      <c r="BWY44" s="292"/>
      <c r="BWZ44" s="292"/>
      <c r="BXA44" s="291"/>
      <c r="BXB44" s="292"/>
      <c r="BXC44" s="292"/>
      <c r="BXD44" s="292"/>
      <c r="BXE44" s="291"/>
      <c r="BXF44" s="292"/>
      <c r="BXG44" s="292"/>
      <c r="BXH44" s="292"/>
      <c r="BXI44" s="291"/>
      <c r="BXJ44" s="292"/>
      <c r="BXK44" s="292"/>
      <c r="BXL44" s="292"/>
      <c r="BXM44" s="291"/>
      <c r="BXN44" s="292"/>
      <c r="BXO44" s="292"/>
      <c r="BXP44" s="292"/>
      <c r="BXQ44" s="291"/>
      <c r="BXR44" s="292"/>
      <c r="BXS44" s="292"/>
      <c r="BXT44" s="292"/>
      <c r="BXU44" s="291"/>
      <c r="BXV44" s="292"/>
      <c r="BXW44" s="292"/>
      <c r="BXX44" s="292"/>
      <c r="BXY44" s="291"/>
      <c r="BXZ44" s="292"/>
      <c r="BYA44" s="292"/>
      <c r="BYB44" s="292"/>
      <c r="BYC44" s="291"/>
      <c r="BYD44" s="292"/>
      <c r="BYE44" s="292"/>
      <c r="BYF44" s="292"/>
      <c r="BYG44" s="291"/>
      <c r="BYH44" s="292"/>
      <c r="BYI44" s="292"/>
      <c r="BYJ44" s="292"/>
      <c r="BYK44" s="291"/>
      <c r="BYL44" s="292"/>
      <c r="BYM44" s="292"/>
      <c r="BYN44" s="292"/>
      <c r="BYO44" s="291"/>
      <c r="BYP44" s="292"/>
      <c r="BYQ44" s="292"/>
      <c r="BYR44" s="292"/>
      <c r="BYS44" s="291"/>
      <c r="BYT44" s="292"/>
      <c r="BYU44" s="292"/>
      <c r="BYV44" s="292"/>
      <c r="BYW44" s="291"/>
      <c r="BYX44" s="292"/>
      <c r="BYY44" s="292"/>
      <c r="BYZ44" s="292"/>
      <c r="BZA44" s="291"/>
      <c r="BZB44" s="292"/>
      <c r="BZC44" s="292"/>
      <c r="BZD44" s="292"/>
      <c r="BZE44" s="291"/>
      <c r="BZF44" s="292"/>
      <c r="BZG44" s="292"/>
      <c r="BZH44" s="292"/>
      <c r="BZI44" s="291"/>
      <c r="BZJ44" s="292"/>
      <c r="BZK44" s="292"/>
      <c r="BZL44" s="292"/>
      <c r="BZM44" s="291"/>
      <c r="BZN44" s="292"/>
      <c r="BZO44" s="292"/>
      <c r="BZP44" s="292"/>
      <c r="BZQ44" s="291"/>
      <c r="BZR44" s="292"/>
      <c r="BZS44" s="292"/>
      <c r="BZT44" s="292"/>
      <c r="BZU44" s="291"/>
      <c r="BZV44" s="292"/>
      <c r="BZW44" s="292"/>
      <c r="BZX44" s="292"/>
      <c r="BZY44" s="291"/>
      <c r="BZZ44" s="292"/>
      <c r="CAA44" s="292"/>
      <c r="CAB44" s="292"/>
      <c r="CAC44" s="291"/>
      <c r="CAD44" s="292"/>
      <c r="CAE44" s="292"/>
      <c r="CAF44" s="292"/>
      <c r="CAG44" s="291"/>
      <c r="CAH44" s="292"/>
      <c r="CAI44" s="292"/>
      <c r="CAJ44" s="292"/>
      <c r="CAK44" s="291"/>
      <c r="CAL44" s="292"/>
      <c r="CAM44" s="292"/>
      <c r="CAN44" s="292"/>
      <c r="CAO44" s="291"/>
      <c r="CAP44" s="292"/>
      <c r="CAQ44" s="292"/>
      <c r="CAR44" s="292"/>
      <c r="CAS44" s="291"/>
      <c r="CAT44" s="292"/>
      <c r="CAU44" s="292"/>
      <c r="CAV44" s="292"/>
      <c r="CAW44" s="291"/>
      <c r="CAX44" s="292"/>
      <c r="CAY44" s="292"/>
      <c r="CAZ44" s="292"/>
      <c r="CBA44" s="291"/>
      <c r="CBB44" s="292"/>
      <c r="CBC44" s="292"/>
      <c r="CBD44" s="292"/>
      <c r="CBE44" s="291"/>
      <c r="CBF44" s="292"/>
      <c r="CBG44" s="292"/>
      <c r="CBH44" s="292"/>
      <c r="CBI44" s="291"/>
      <c r="CBJ44" s="292"/>
      <c r="CBK44" s="292"/>
      <c r="CBL44" s="292"/>
      <c r="CBM44" s="291"/>
      <c r="CBN44" s="292"/>
      <c r="CBO44" s="292"/>
      <c r="CBP44" s="292"/>
      <c r="CBQ44" s="291"/>
      <c r="CBR44" s="292"/>
      <c r="CBS44" s="292"/>
      <c r="CBT44" s="292"/>
      <c r="CBU44" s="291"/>
      <c r="CBV44" s="292"/>
      <c r="CBW44" s="292"/>
      <c r="CBX44" s="292"/>
      <c r="CBY44" s="291"/>
      <c r="CBZ44" s="292"/>
      <c r="CCA44" s="292"/>
      <c r="CCB44" s="292"/>
      <c r="CCC44" s="291"/>
      <c r="CCD44" s="292"/>
      <c r="CCE44" s="292"/>
      <c r="CCF44" s="292"/>
      <c r="CCG44" s="291"/>
      <c r="CCH44" s="292"/>
      <c r="CCI44" s="292"/>
      <c r="CCJ44" s="292"/>
      <c r="CCK44" s="291"/>
      <c r="CCL44" s="292"/>
      <c r="CCM44" s="292"/>
      <c r="CCN44" s="292"/>
      <c r="CCO44" s="291"/>
      <c r="CCP44" s="292"/>
      <c r="CCQ44" s="292"/>
      <c r="CCR44" s="292"/>
      <c r="CCS44" s="291"/>
      <c r="CCT44" s="292"/>
      <c r="CCU44" s="292"/>
      <c r="CCV44" s="292"/>
      <c r="CCW44" s="291"/>
      <c r="CCX44" s="292"/>
      <c r="CCY44" s="292"/>
      <c r="CCZ44" s="292"/>
      <c r="CDA44" s="291"/>
      <c r="CDB44" s="292"/>
      <c r="CDC44" s="292"/>
      <c r="CDD44" s="292"/>
      <c r="CDE44" s="291"/>
      <c r="CDF44" s="292"/>
      <c r="CDG44" s="292"/>
      <c r="CDH44" s="292"/>
      <c r="CDI44" s="291"/>
      <c r="CDJ44" s="292"/>
      <c r="CDK44" s="292"/>
      <c r="CDL44" s="292"/>
      <c r="CDM44" s="291"/>
      <c r="CDN44" s="292"/>
      <c r="CDO44" s="292"/>
      <c r="CDP44" s="292"/>
      <c r="CDQ44" s="291"/>
      <c r="CDR44" s="292"/>
      <c r="CDS44" s="292"/>
      <c r="CDT44" s="292"/>
      <c r="CDU44" s="291"/>
      <c r="CDV44" s="292"/>
      <c r="CDW44" s="292"/>
      <c r="CDX44" s="292"/>
      <c r="CDY44" s="291"/>
      <c r="CDZ44" s="292"/>
      <c r="CEA44" s="292"/>
      <c r="CEB44" s="292"/>
      <c r="CEC44" s="291"/>
      <c r="CED44" s="292"/>
      <c r="CEE44" s="292"/>
      <c r="CEF44" s="292"/>
      <c r="CEG44" s="291"/>
      <c r="CEH44" s="292"/>
      <c r="CEI44" s="292"/>
      <c r="CEJ44" s="292"/>
      <c r="CEK44" s="291"/>
      <c r="CEL44" s="292"/>
      <c r="CEM44" s="292"/>
      <c r="CEN44" s="292"/>
      <c r="CEO44" s="291"/>
      <c r="CEP44" s="292"/>
      <c r="CEQ44" s="292"/>
      <c r="CER44" s="292"/>
      <c r="CES44" s="291"/>
      <c r="CET44" s="292"/>
      <c r="CEU44" s="292"/>
      <c r="CEV44" s="292"/>
      <c r="CEW44" s="291"/>
      <c r="CEX44" s="292"/>
      <c r="CEY44" s="292"/>
      <c r="CEZ44" s="292"/>
      <c r="CFA44" s="291"/>
      <c r="CFB44" s="292"/>
      <c r="CFC44" s="292"/>
      <c r="CFD44" s="292"/>
      <c r="CFE44" s="291"/>
      <c r="CFF44" s="292"/>
      <c r="CFG44" s="292"/>
      <c r="CFH44" s="292"/>
      <c r="CFI44" s="291"/>
      <c r="CFJ44" s="292"/>
      <c r="CFK44" s="292"/>
      <c r="CFL44" s="292"/>
      <c r="CFM44" s="291"/>
      <c r="CFN44" s="292"/>
      <c r="CFO44" s="292"/>
      <c r="CFP44" s="292"/>
      <c r="CFQ44" s="291"/>
      <c r="CFR44" s="292"/>
      <c r="CFS44" s="292"/>
      <c r="CFT44" s="292"/>
      <c r="CFU44" s="291"/>
      <c r="CFV44" s="292"/>
      <c r="CFW44" s="292"/>
      <c r="CFX44" s="292"/>
      <c r="CFY44" s="291"/>
      <c r="CFZ44" s="292"/>
      <c r="CGA44" s="292"/>
      <c r="CGB44" s="292"/>
      <c r="CGC44" s="291"/>
      <c r="CGD44" s="292"/>
      <c r="CGE44" s="292"/>
      <c r="CGF44" s="292"/>
      <c r="CGG44" s="291"/>
      <c r="CGH44" s="292"/>
      <c r="CGI44" s="292"/>
      <c r="CGJ44" s="292"/>
      <c r="CGK44" s="291"/>
      <c r="CGL44" s="292"/>
      <c r="CGM44" s="292"/>
      <c r="CGN44" s="292"/>
      <c r="CGO44" s="291"/>
      <c r="CGP44" s="292"/>
      <c r="CGQ44" s="292"/>
      <c r="CGR44" s="292"/>
      <c r="CGS44" s="291"/>
      <c r="CGT44" s="292"/>
      <c r="CGU44" s="292"/>
      <c r="CGV44" s="292"/>
      <c r="CGW44" s="291"/>
      <c r="CGX44" s="292"/>
      <c r="CGY44" s="292"/>
      <c r="CGZ44" s="292"/>
      <c r="CHA44" s="291"/>
      <c r="CHB44" s="292"/>
      <c r="CHC44" s="292"/>
      <c r="CHD44" s="292"/>
      <c r="CHE44" s="291"/>
      <c r="CHF44" s="292"/>
      <c r="CHG44" s="292"/>
      <c r="CHH44" s="292"/>
      <c r="CHI44" s="291"/>
      <c r="CHJ44" s="292"/>
      <c r="CHK44" s="292"/>
      <c r="CHL44" s="292"/>
      <c r="CHM44" s="291"/>
      <c r="CHN44" s="292"/>
      <c r="CHO44" s="292"/>
      <c r="CHP44" s="292"/>
      <c r="CHQ44" s="291"/>
      <c r="CHR44" s="292"/>
      <c r="CHS44" s="292"/>
      <c r="CHT44" s="292"/>
      <c r="CHU44" s="291"/>
      <c r="CHV44" s="292"/>
      <c r="CHW44" s="292"/>
      <c r="CHX44" s="292"/>
      <c r="CHY44" s="291"/>
      <c r="CHZ44" s="292"/>
      <c r="CIA44" s="292"/>
      <c r="CIB44" s="292"/>
      <c r="CIC44" s="291"/>
      <c r="CID44" s="292"/>
      <c r="CIE44" s="292"/>
      <c r="CIF44" s="292"/>
      <c r="CIG44" s="291"/>
      <c r="CIH44" s="292"/>
      <c r="CII44" s="292"/>
      <c r="CIJ44" s="292"/>
      <c r="CIK44" s="291"/>
      <c r="CIL44" s="292"/>
      <c r="CIM44" s="292"/>
      <c r="CIN44" s="292"/>
      <c r="CIO44" s="291"/>
      <c r="CIP44" s="292"/>
      <c r="CIQ44" s="292"/>
      <c r="CIR44" s="292"/>
      <c r="CIS44" s="291"/>
      <c r="CIT44" s="292"/>
      <c r="CIU44" s="292"/>
      <c r="CIV44" s="292"/>
      <c r="CIW44" s="291"/>
      <c r="CIX44" s="292"/>
      <c r="CIY44" s="292"/>
      <c r="CIZ44" s="292"/>
      <c r="CJA44" s="291"/>
      <c r="CJB44" s="292"/>
      <c r="CJC44" s="292"/>
      <c r="CJD44" s="292"/>
      <c r="CJE44" s="291"/>
      <c r="CJF44" s="292"/>
      <c r="CJG44" s="292"/>
      <c r="CJH44" s="292"/>
      <c r="CJI44" s="291"/>
      <c r="CJJ44" s="292"/>
      <c r="CJK44" s="292"/>
      <c r="CJL44" s="292"/>
      <c r="CJM44" s="291"/>
      <c r="CJN44" s="292"/>
      <c r="CJO44" s="292"/>
      <c r="CJP44" s="292"/>
      <c r="CJQ44" s="291"/>
      <c r="CJR44" s="292"/>
      <c r="CJS44" s="292"/>
      <c r="CJT44" s="292"/>
      <c r="CJU44" s="291"/>
      <c r="CJV44" s="292"/>
      <c r="CJW44" s="292"/>
      <c r="CJX44" s="292"/>
      <c r="CJY44" s="291"/>
      <c r="CJZ44" s="292"/>
      <c r="CKA44" s="292"/>
      <c r="CKB44" s="292"/>
      <c r="CKC44" s="291"/>
      <c r="CKD44" s="292"/>
      <c r="CKE44" s="292"/>
      <c r="CKF44" s="292"/>
      <c r="CKG44" s="291"/>
      <c r="CKH44" s="292"/>
      <c r="CKI44" s="292"/>
      <c r="CKJ44" s="292"/>
      <c r="CKK44" s="291"/>
      <c r="CKL44" s="292"/>
      <c r="CKM44" s="292"/>
      <c r="CKN44" s="292"/>
      <c r="CKO44" s="291"/>
      <c r="CKP44" s="292"/>
      <c r="CKQ44" s="292"/>
      <c r="CKR44" s="292"/>
      <c r="CKS44" s="291"/>
      <c r="CKT44" s="292"/>
      <c r="CKU44" s="292"/>
      <c r="CKV44" s="292"/>
      <c r="CKW44" s="291"/>
      <c r="CKX44" s="292"/>
      <c r="CKY44" s="292"/>
      <c r="CKZ44" s="292"/>
      <c r="CLA44" s="291"/>
      <c r="CLB44" s="292"/>
      <c r="CLC44" s="292"/>
      <c r="CLD44" s="292"/>
      <c r="CLE44" s="291"/>
      <c r="CLF44" s="292"/>
      <c r="CLG44" s="292"/>
      <c r="CLH44" s="292"/>
      <c r="CLI44" s="291"/>
      <c r="CLJ44" s="292"/>
      <c r="CLK44" s="292"/>
      <c r="CLL44" s="292"/>
      <c r="CLM44" s="291"/>
      <c r="CLN44" s="292"/>
      <c r="CLO44" s="292"/>
      <c r="CLP44" s="292"/>
      <c r="CLQ44" s="291"/>
      <c r="CLR44" s="292"/>
      <c r="CLS44" s="292"/>
      <c r="CLT44" s="292"/>
      <c r="CLU44" s="291"/>
      <c r="CLV44" s="292"/>
      <c r="CLW44" s="292"/>
      <c r="CLX44" s="292"/>
      <c r="CLY44" s="291"/>
      <c r="CLZ44" s="292"/>
      <c r="CMA44" s="292"/>
      <c r="CMB44" s="292"/>
      <c r="CMC44" s="291"/>
      <c r="CMD44" s="292"/>
      <c r="CME44" s="292"/>
      <c r="CMF44" s="292"/>
      <c r="CMG44" s="291"/>
      <c r="CMH44" s="292"/>
      <c r="CMI44" s="292"/>
      <c r="CMJ44" s="292"/>
      <c r="CMK44" s="291"/>
      <c r="CML44" s="292"/>
      <c r="CMM44" s="292"/>
      <c r="CMN44" s="292"/>
      <c r="CMO44" s="291"/>
      <c r="CMP44" s="292"/>
      <c r="CMQ44" s="292"/>
      <c r="CMR44" s="292"/>
      <c r="CMS44" s="291"/>
      <c r="CMT44" s="292"/>
      <c r="CMU44" s="292"/>
      <c r="CMV44" s="292"/>
      <c r="CMW44" s="291"/>
      <c r="CMX44" s="292"/>
      <c r="CMY44" s="292"/>
      <c r="CMZ44" s="292"/>
      <c r="CNA44" s="291"/>
      <c r="CNB44" s="292"/>
      <c r="CNC44" s="292"/>
      <c r="CND44" s="292"/>
      <c r="CNE44" s="291"/>
      <c r="CNF44" s="292"/>
      <c r="CNG44" s="292"/>
      <c r="CNH44" s="292"/>
      <c r="CNI44" s="291"/>
      <c r="CNJ44" s="292"/>
      <c r="CNK44" s="292"/>
      <c r="CNL44" s="292"/>
      <c r="CNM44" s="291"/>
      <c r="CNN44" s="292"/>
      <c r="CNO44" s="292"/>
      <c r="CNP44" s="292"/>
      <c r="CNQ44" s="291"/>
      <c r="CNR44" s="292"/>
      <c r="CNS44" s="292"/>
      <c r="CNT44" s="292"/>
      <c r="CNU44" s="291"/>
      <c r="CNV44" s="292"/>
      <c r="CNW44" s="292"/>
      <c r="CNX44" s="292"/>
      <c r="CNY44" s="291"/>
      <c r="CNZ44" s="292"/>
      <c r="COA44" s="292"/>
      <c r="COB44" s="292"/>
      <c r="COC44" s="291"/>
      <c r="COD44" s="292"/>
      <c r="COE44" s="292"/>
      <c r="COF44" s="292"/>
      <c r="COG44" s="291"/>
      <c r="COH44" s="292"/>
      <c r="COI44" s="292"/>
      <c r="COJ44" s="292"/>
      <c r="COK44" s="291"/>
      <c r="COL44" s="292"/>
      <c r="COM44" s="292"/>
      <c r="CON44" s="292"/>
      <c r="COO44" s="291"/>
      <c r="COP44" s="292"/>
      <c r="COQ44" s="292"/>
      <c r="COR44" s="292"/>
      <c r="COS44" s="291"/>
      <c r="COT44" s="292"/>
      <c r="COU44" s="292"/>
      <c r="COV44" s="292"/>
      <c r="COW44" s="291"/>
      <c r="COX44" s="292"/>
      <c r="COY44" s="292"/>
      <c r="COZ44" s="292"/>
      <c r="CPA44" s="291"/>
      <c r="CPB44" s="292"/>
      <c r="CPC44" s="292"/>
      <c r="CPD44" s="292"/>
      <c r="CPE44" s="291"/>
      <c r="CPF44" s="292"/>
      <c r="CPG44" s="292"/>
      <c r="CPH44" s="292"/>
      <c r="CPI44" s="291"/>
      <c r="CPJ44" s="292"/>
      <c r="CPK44" s="292"/>
      <c r="CPL44" s="292"/>
      <c r="CPM44" s="291"/>
      <c r="CPN44" s="292"/>
      <c r="CPO44" s="292"/>
      <c r="CPP44" s="292"/>
      <c r="CPQ44" s="291"/>
      <c r="CPR44" s="292"/>
      <c r="CPS44" s="292"/>
      <c r="CPT44" s="292"/>
      <c r="CPU44" s="291"/>
      <c r="CPV44" s="292"/>
      <c r="CPW44" s="292"/>
      <c r="CPX44" s="292"/>
      <c r="CPY44" s="291"/>
      <c r="CPZ44" s="292"/>
      <c r="CQA44" s="292"/>
      <c r="CQB44" s="292"/>
      <c r="CQC44" s="291"/>
      <c r="CQD44" s="292"/>
      <c r="CQE44" s="292"/>
      <c r="CQF44" s="292"/>
      <c r="CQG44" s="291"/>
      <c r="CQH44" s="292"/>
      <c r="CQI44" s="292"/>
      <c r="CQJ44" s="292"/>
      <c r="CQK44" s="291"/>
      <c r="CQL44" s="292"/>
      <c r="CQM44" s="292"/>
      <c r="CQN44" s="292"/>
      <c r="CQO44" s="291"/>
      <c r="CQP44" s="292"/>
      <c r="CQQ44" s="292"/>
      <c r="CQR44" s="292"/>
      <c r="CQS44" s="291"/>
      <c r="CQT44" s="292"/>
      <c r="CQU44" s="292"/>
      <c r="CQV44" s="292"/>
      <c r="CQW44" s="291"/>
      <c r="CQX44" s="292"/>
      <c r="CQY44" s="292"/>
      <c r="CQZ44" s="292"/>
      <c r="CRA44" s="291"/>
      <c r="CRB44" s="292"/>
      <c r="CRC44" s="292"/>
      <c r="CRD44" s="292"/>
      <c r="CRE44" s="291"/>
      <c r="CRF44" s="292"/>
      <c r="CRG44" s="292"/>
      <c r="CRH44" s="292"/>
      <c r="CRI44" s="291"/>
      <c r="CRJ44" s="292"/>
      <c r="CRK44" s="292"/>
      <c r="CRL44" s="292"/>
      <c r="CRM44" s="291"/>
      <c r="CRN44" s="292"/>
      <c r="CRO44" s="292"/>
      <c r="CRP44" s="292"/>
      <c r="CRQ44" s="291"/>
      <c r="CRR44" s="292"/>
      <c r="CRS44" s="292"/>
      <c r="CRT44" s="292"/>
      <c r="CRU44" s="291"/>
      <c r="CRV44" s="292"/>
      <c r="CRW44" s="292"/>
      <c r="CRX44" s="292"/>
      <c r="CRY44" s="291"/>
      <c r="CRZ44" s="292"/>
      <c r="CSA44" s="292"/>
      <c r="CSB44" s="292"/>
      <c r="CSC44" s="291"/>
      <c r="CSD44" s="292"/>
      <c r="CSE44" s="292"/>
      <c r="CSF44" s="292"/>
      <c r="CSG44" s="291"/>
      <c r="CSH44" s="292"/>
      <c r="CSI44" s="292"/>
      <c r="CSJ44" s="292"/>
      <c r="CSK44" s="291"/>
      <c r="CSL44" s="292"/>
      <c r="CSM44" s="292"/>
      <c r="CSN44" s="292"/>
      <c r="CSO44" s="291"/>
      <c r="CSP44" s="292"/>
      <c r="CSQ44" s="292"/>
      <c r="CSR44" s="292"/>
      <c r="CSS44" s="291"/>
      <c r="CST44" s="292"/>
      <c r="CSU44" s="292"/>
      <c r="CSV44" s="292"/>
      <c r="CSW44" s="291"/>
      <c r="CSX44" s="292"/>
      <c r="CSY44" s="292"/>
      <c r="CSZ44" s="292"/>
      <c r="CTA44" s="291"/>
      <c r="CTB44" s="292"/>
      <c r="CTC44" s="292"/>
      <c r="CTD44" s="292"/>
      <c r="CTE44" s="291"/>
      <c r="CTF44" s="292"/>
      <c r="CTG44" s="292"/>
      <c r="CTH44" s="292"/>
      <c r="CTI44" s="291"/>
      <c r="CTJ44" s="292"/>
      <c r="CTK44" s="292"/>
      <c r="CTL44" s="292"/>
      <c r="CTM44" s="291"/>
      <c r="CTN44" s="292"/>
      <c r="CTO44" s="292"/>
      <c r="CTP44" s="292"/>
      <c r="CTQ44" s="291"/>
      <c r="CTR44" s="292"/>
      <c r="CTS44" s="292"/>
      <c r="CTT44" s="292"/>
      <c r="CTU44" s="291"/>
      <c r="CTV44" s="292"/>
      <c r="CTW44" s="292"/>
      <c r="CTX44" s="292"/>
      <c r="CTY44" s="291"/>
      <c r="CTZ44" s="292"/>
      <c r="CUA44" s="292"/>
      <c r="CUB44" s="292"/>
      <c r="CUC44" s="291"/>
      <c r="CUD44" s="292"/>
      <c r="CUE44" s="292"/>
      <c r="CUF44" s="292"/>
      <c r="CUG44" s="291"/>
      <c r="CUH44" s="292"/>
      <c r="CUI44" s="292"/>
      <c r="CUJ44" s="292"/>
      <c r="CUK44" s="291"/>
      <c r="CUL44" s="292"/>
      <c r="CUM44" s="292"/>
      <c r="CUN44" s="292"/>
      <c r="CUO44" s="291"/>
      <c r="CUP44" s="292"/>
      <c r="CUQ44" s="292"/>
      <c r="CUR44" s="292"/>
      <c r="CUS44" s="291"/>
      <c r="CUT44" s="292"/>
      <c r="CUU44" s="292"/>
      <c r="CUV44" s="292"/>
      <c r="CUW44" s="291"/>
      <c r="CUX44" s="292"/>
      <c r="CUY44" s="292"/>
      <c r="CUZ44" s="292"/>
      <c r="CVA44" s="291"/>
      <c r="CVB44" s="292"/>
      <c r="CVC44" s="292"/>
      <c r="CVD44" s="292"/>
      <c r="CVE44" s="291"/>
      <c r="CVF44" s="292"/>
      <c r="CVG44" s="292"/>
      <c r="CVH44" s="292"/>
      <c r="CVI44" s="291"/>
      <c r="CVJ44" s="292"/>
      <c r="CVK44" s="292"/>
      <c r="CVL44" s="292"/>
      <c r="CVM44" s="291"/>
      <c r="CVN44" s="292"/>
      <c r="CVO44" s="292"/>
      <c r="CVP44" s="292"/>
      <c r="CVQ44" s="291"/>
      <c r="CVR44" s="292"/>
      <c r="CVS44" s="292"/>
      <c r="CVT44" s="292"/>
      <c r="CVU44" s="291"/>
      <c r="CVV44" s="292"/>
      <c r="CVW44" s="292"/>
      <c r="CVX44" s="292"/>
      <c r="CVY44" s="291"/>
      <c r="CVZ44" s="292"/>
      <c r="CWA44" s="292"/>
      <c r="CWB44" s="292"/>
      <c r="CWC44" s="291"/>
      <c r="CWD44" s="292"/>
      <c r="CWE44" s="292"/>
      <c r="CWF44" s="292"/>
      <c r="CWG44" s="291"/>
      <c r="CWH44" s="292"/>
      <c r="CWI44" s="292"/>
      <c r="CWJ44" s="292"/>
      <c r="CWK44" s="291"/>
      <c r="CWL44" s="292"/>
      <c r="CWM44" s="292"/>
      <c r="CWN44" s="292"/>
      <c r="CWO44" s="291"/>
      <c r="CWP44" s="292"/>
      <c r="CWQ44" s="292"/>
      <c r="CWR44" s="292"/>
      <c r="CWS44" s="291"/>
      <c r="CWT44" s="292"/>
      <c r="CWU44" s="292"/>
      <c r="CWV44" s="292"/>
      <c r="CWW44" s="291"/>
      <c r="CWX44" s="292"/>
      <c r="CWY44" s="292"/>
      <c r="CWZ44" s="292"/>
      <c r="CXA44" s="291"/>
      <c r="CXB44" s="292"/>
      <c r="CXC44" s="292"/>
      <c r="CXD44" s="292"/>
      <c r="CXE44" s="291"/>
      <c r="CXF44" s="292"/>
      <c r="CXG44" s="292"/>
      <c r="CXH44" s="292"/>
      <c r="CXI44" s="291"/>
      <c r="CXJ44" s="292"/>
      <c r="CXK44" s="292"/>
      <c r="CXL44" s="292"/>
      <c r="CXM44" s="291"/>
      <c r="CXN44" s="292"/>
      <c r="CXO44" s="292"/>
      <c r="CXP44" s="292"/>
      <c r="CXQ44" s="291"/>
      <c r="CXR44" s="292"/>
      <c r="CXS44" s="292"/>
      <c r="CXT44" s="292"/>
      <c r="CXU44" s="291"/>
      <c r="CXV44" s="292"/>
      <c r="CXW44" s="292"/>
      <c r="CXX44" s="292"/>
      <c r="CXY44" s="291"/>
      <c r="CXZ44" s="292"/>
      <c r="CYA44" s="292"/>
      <c r="CYB44" s="292"/>
      <c r="CYC44" s="291"/>
      <c r="CYD44" s="292"/>
      <c r="CYE44" s="292"/>
      <c r="CYF44" s="292"/>
      <c r="CYG44" s="291"/>
      <c r="CYH44" s="292"/>
      <c r="CYI44" s="292"/>
      <c r="CYJ44" s="292"/>
      <c r="CYK44" s="291"/>
      <c r="CYL44" s="292"/>
      <c r="CYM44" s="292"/>
      <c r="CYN44" s="292"/>
      <c r="CYO44" s="291"/>
      <c r="CYP44" s="292"/>
      <c r="CYQ44" s="292"/>
      <c r="CYR44" s="292"/>
      <c r="CYS44" s="291"/>
      <c r="CYT44" s="292"/>
      <c r="CYU44" s="292"/>
      <c r="CYV44" s="292"/>
      <c r="CYW44" s="291"/>
      <c r="CYX44" s="292"/>
      <c r="CYY44" s="292"/>
      <c r="CYZ44" s="292"/>
      <c r="CZA44" s="291"/>
      <c r="CZB44" s="292"/>
      <c r="CZC44" s="292"/>
      <c r="CZD44" s="292"/>
      <c r="CZE44" s="291"/>
      <c r="CZF44" s="292"/>
      <c r="CZG44" s="292"/>
      <c r="CZH44" s="292"/>
      <c r="CZI44" s="291"/>
      <c r="CZJ44" s="292"/>
      <c r="CZK44" s="292"/>
      <c r="CZL44" s="292"/>
      <c r="CZM44" s="291"/>
      <c r="CZN44" s="292"/>
      <c r="CZO44" s="292"/>
      <c r="CZP44" s="292"/>
      <c r="CZQ44" s="291"/>
      <c r="CZR44" s="292"/>
      <c r="CZS44" s="292"/>
      <c r="CZT44" s="292"/>
      <c r="CZU44" s="291"/>
      <c r="CZV44" s="292"/>
      <c r="CZW44" s="292"/>
      <c r="CZX44" s="292"/>
      <c r="CZY44" s="291"/>
      <c r="CZZ44" s="292"/>
      <c r="DAA44" s="292"/>
      <c r="DAB44" s="292"/>
      <c r="DAC44" s="291"/>
      <c r="DAD44" s="292"/>
      <c r="DAE44" s="292"/>
      <c r="DAF44" s="292"/>
      <c r="DAG44" s="291"/>
      <c r="DAH44" s="292"/>
      <c r="DAI44" s="292"/>
      <c r="DAJ44" s="292"/>
      <c r="DAK44" s="291"/>
      <c r="DAL44" s="292"/>
      <c r="DAM44" s="292"/>
      <c r="DAN44" s="292"/>
      <c r="DAO44" s="291"/>
      <c r="DAP44" s="292"/>
      <c r="DAQ44" s="292"/>
      <c r="DAR44" s="292"/>
      <c r="DAS44" s="291"/>
      <c r="DAT44" s="292"/>
      <c r="DAU44" s="292"/>
      <c r="DAV44" s="292"/>
      <c r="DAW44" s="291"/>
      <c r="DAX44" s="292"/>
      <c r="DAY44" s="292"/>
      <c r="DAZ44" s="292"/>
      <c r="DBA44" s="291"/>
      <c r="DBB44" s="292"/>
      <c r="DBC44" s="292"/>
      <c r="DBD44" s="292"/>
      <c r="DBE44" s="291"/>
      <c r="DBF44" s="292"/>
      <c r="DBG44" s="292"/>
      <c r="DBH44" s="292"/>
      <c r="DBI44" s="291"/>
      <c r="DBJ44" s="292"/>
      <c r="DBK44" s="292"/>
      <c r="DBL44" s="292"/>
      <c r="DBM44" s="291"/>
      <c r="DBN44" s="292"/>
      <c r="DBO44" s="292"/>
      <c r="DBP44" s="292"/>
      <c r="DBQ44" s="291"/>
      <c r="DBR44" s="292"/>
      <c r="DBS44" s="292"/>
      <c r="DBT44" s="292"/>
      <c r="DBU44" s="291"/>
      <c r="DBV44" s="292"/>
      <c r="DBW44" s="292"/>
      <c r="DBX44" s="292"/>
      <c r="DBY44" s="291"/>
      <c r="DBZ44" s="292"/>
      <c r="DCA44" s="292"/>
      <c r="DCB44" s="292"/>
      <c r="DCC44" s="291"/>
      <c r="DCD44" s="292"/>
      <c r="DCE44" s="292"/>
      <c r="DCF44" s="292"/>
      <c r="DCG44" s="291"/>
      <c r="DCH44" s="292"/>
      <c r="DCI44" s="292"/>
      <c r="DCJ44" s="292"/>
      <c r="DCK44" s="291"/>
      <c r="DCL44" s="292"/>
      <c r="DCM44" s="292"/>
      <c r="DCN44" s="292"/>
      <c r="DCO44" s="291"/>
      <c r="DCP44" s="292"/>
      <c r="DCQ44" s="292"/>
      <c r="DCR44" s="292"/>
      <c r="DCS44" s="291"/>
      <c r="DCT44" s="292"/>
      <c r="DCU44" s="292"/>
      <c r="DCV44" s="292"/>
      <c r="DCW44" s="291"/>
      <c r="DCX44" s="292"/>
      <c r="DCY44" s="292"/>
      <c r="DCZ44" s="292"/>
      <c r="DDA44" s="291"/>
      <c r="DDB44" s="292"/>
      <c r="DDC44" s="292"/>
      <c r="DDD44" s="292"/>
      <c r="DDE44" s="291"/>
      <c r="DDF44" s="292"/>
      <c r="DDG44" s="292"/>
      <c r="DDH44" s="292"/>
      <c r="DDI44" s="291"/>
      <c r="DDJ44" s="292"/>
      <c r="DDK44" s="292"/>
      <c r="DDL44" s="292"/>
      <c r="DDM44" s="291"/>
      <c r="DDN44" s="292"/>
      <c r="DDO44" s="292"/>
      <c r="DDP44" s="292"/>
      <c r="DDQ44" s="291"/>
      <c r="DDR44" s="292"/>
      <c r="DDS44" s="292"/>
      <c r="DDT44" s="292"/>
      <c r="DDU44" s="291"/>
      <c r="DDV44" s="292"/>
      <c r="DDW44" s="292"/>
      <c r="DDX44" s="292"/>
      <c r="DDY44" s="291"/>
      <c r="DDZ44" s="292"/>
      <c r="DEA44" s="292"/>
      <c r="DEB44" s="292"/>
      <c r="DEC44" s="291"/>
      <c r="DED44" s="292"/>
      <c r="DEE44" s="292"/>
      <c r="DEF44" s="292"/>
      <c r="DEG44" s="291"/>
      <c r="DEH44" s="292"/>
      <c r="DEI44" s="292"/>
      <c r="DEJ44" s="292"/>
      <c r="DEK44" s="291"/>
      <c r="DEL44" s="292"/>
      <c r="DEM44" s="292"/>
      <c r="DEN44" s="292"/>
      <c r="DEO44" s="291"/>
      <c r="DEP44" s="292"/>
      <c r="DEQ44" s="292"/>
      <c r="DER44" s="292"/>
      <c r="DES44" s="291"/>
      <c r="DET44" s="292"/>
      <c r="DEU44" s="292"/>
      <c r="DEV44" s="292"/>
      <c r="DEW44" s="291"/>
      <c r="DEX44" s="292"/>
      <c r="DEY44" s="292"/>
      <c r="DEZ44" s="292"/>
      <c r="DFA44" s="291"/>
      <c r="DFB44" s="292"/>
      <c r="DFC44" s="292"/>
      <c r="DFD44" s="292"/>
      <c r="DFE44" s="291"/>
      <c r="DFF44" s="292"/>
      <c r="DFG44" s="292"/>
      <c r="DFH44" s="292"/>
      <c r="DFI44" s="291"/>
      <c r="DFJ44" s="292"/>
      <c r="DFK44" s="292"/>
      <c r="DFL44" s="292"/>
      <c r="DFM44" s="291"/>
      <c r="DFN44" s="292"/>
      <c r="DFO44" s="292"/>
      <c r="DFP44" s="292"/>
      <c r="DFQ44" s="291"/>
      <c r="DFR44" s="292"/>
      <c r="DFS44" s="292"/>
      <c r="DFT44" s="292"/>
      <c r="DFU44" s="291"/>
      <c r="DFV44" s="292"/>
      <c r="DFW44" s="292"/>
      <c r="DFX44" s="292"/>
      <c r="DFY44" s="291"/>
      <c r="DFZ44" s="292"/>
      <c r="DGA44" s="292"/>
      <c r="DGB44" s="292"/>
      <c r="DGC44" s="291"/>
      <c r="DGD44" s="292"/>
      <c r="DGE44" s="292"/>
      <c r="DGF44" s="292"/>
      <c r="DGG44" s="291"/>
      <c r="DGH44" s="292"/>
      <c r="DGI44" s="292"/>
      <c r="DGJ44" s="292"/>
      <c r="DGK44" s="291"/>
      <c r="DGL44" s="292"/>
      <c r="DGM44" s="292"/>
      <c r="DGN44" s="292"/>
      <c r="DGO44" s="291"/>
      <c r="DGP44" s="292"/>
      <c r="DGQ44" s="292"/>
      <c r="DGR44" s="292"/>
      <c r="DGS44" s="291"/>
      <c r="DGT44" s="292"/>
      <c r="DGU44" s="292"/>
      <c r="DGV44" s="292"/>
      <c r="DGW44" s="291"/>
      <c r="DGX44" s="292"/>
      <c r="DGY44" s="292"/>
      <c r="DGZ44" s="292"/>
      <c r="DHA44" s="291"/>
      <c r="DHB44" s="292"/>
      <c r="DHC44" s="292"/>
      <c r="DHD44" s="292"/>
      <c r="DHE44" s="291"/>
      <c r="DHF44" s="292"/>
      <c r="DHG44" s="292"/>
      <c r="DHH44" s="292"/>
      <c r="DHI44" s="291"/>
      <c r="DHJ44" s="292"/>
      <c r="DHK44" s="292"/>
      <c r="DHL44" s="292"/>
      <c r="DHM44" s="291"/>
      <c r="DHN44" s="292"/>
      <c r="DHO44" s="292"/>
      <c r="DHP44" s="292"/>
      <c r="DHQ44" s="291"/>
      <c r="DHR44" s="292"/>
      <c r="DHS44" s="292"/>
      <c r="DHT44" s="292"/>
      <c r="DHU44" s="291"/>
      <c r="DHV44" s="292"/>
      <c r="DHW44" s="292"/>
      <c r="DHX44" s="292"/>
      <c r="DHY44" s="291"/>
      <c r="DHZ44" s="292"/>
      <c r="DIA44" s="292"/>
      <c r="DIB44" s="292"/>
      <c r="DIC44" s="291"/>
      <c r="DID44" s="292"/>
      <c r="DIE44" s="292"/>
      <c r="DIF44" s="292"/>
      <c r="DIG44" s="291"/>
      <c r="DIH44" s="292"/>
      <c r="DII44" s="292"/>
      <c r="DIJ44" s="292"/>
      <c r="DIK44" s="291"/>
      <c r="DIL44" s="292"/>
      <c r="DIM44" s="292"/>
      <c r="DIN44" s="292"/>
      <c r="DIO44" s="291"/>
      <c r="DIP44" s="292"/>
      <c r="DIQ44" s="292"/>
      <c r="DIR44" s="292"/>
      <c r="DIS44" s="291"/>
      <c r="DIT44" s="292"/>
      <c r="DIU44" s="292"/>
      <c r="DIV44" s="292"/>
      <c r="DIW44" s="291"/>
      <c r="DIX44" s="292"/>
      <c r="DIY44" s="292"/>
      <c r="DIZ44" s="292"/>
      <c r="DJA44" s="291"/>
      <c r="DJB44" s="292"/>
      <c r="DJC44" s="292"/>
      <c r="DJD44" s="292"/>
      <c r="DJE44" s="291"/>
      <c r="DJF44" s="292"/>
      <c r="DJG44" s="292"/>
      <c r="DJH44" s="292"/>
      <c r="DJI44" s="291"/>
      <c r="DJJ44" s="292"/>
      <c r="DJK44" s="292"/>
      <c r="DJL44" s="292"/>
      <c r="DJM44" s="291"/>
      <c r="DJN44" s="292"/>
      <c r="DJO44" s="292"/>
      <c r="DJP44" s="292"/>
      <c r="DJQ44" s="291"/>
      <c r="DJR44" s="292"/>
      <c r="DJS44" s="292"/>
      <c r="DJT44" s="292"/>
      <c r="DJU44" s="291"/>
      <c r="DJV44" s="292"/>
      <c r="DJW44" s="292"/>
      <c r="DJX44" s="292"/>
      <c r="DJY44" s="291"/>
      <c r="DJZ44" s="292"/>
      <c r="DKA44" s="292"/>
      <c r="DKB44" s="292"/>
      <c r="DKC44" s="291"/>
      <c r="DKD44" s="292"/>
      <c r="DKE44" s="292"/>
      <c r="DKF44" s="292"/>
      <c r="DKG44" s="291"/>
      <c r="DKH44" s="292"/>
      <c r="DKI44" s="292"/>
      <c r="DKJ44" s="292"/>
      <c r="DKK44" s="291"/>
      <c r="DKL44" s="292"/>
      <c r="DKM44" s="292"/>
      <c r="DKN44" s="292"/>
      <c r="DKO44" s="291"/>
      <c r="DKP44" s="292"/>
      <c r="DKQ44" s="292"/>
      <c r="DKR44" s="292"/>
      <c r="DKS44" s="291"/>
      <c r="DKT44" s="292"/>
      <c r="DKU44" s="292"/>
      <c r="DKV44" s="292"/>
      <c r="DKW44" s="291"/>
      <c r="DKX44" s="292"/>
      <c r="DKY44" s="292"/>
      <c r="DKZ44" s="292"/>
      <c r="DLA44" s="291"/>
      <c r="DLB44" s="292"/>
      <c r="DLC44" s="292"/>
      <c r="DLD44" s="292"/>
      <c r="DLE44" s="291"/>
      <c r="DLF44" s="292"/>
      <c r="DLG44" s="292"/>
      <c r="DLH44" s="292"/>
      <c r="DLI44" s="291"/>
      <c r="DLJ44" s="292"/>
      <c r="DLK44" s="292"/>
      <c r="DLL44" s="292"/>
      <c r="DLM44" s="291"/>
      <c r="DLN44" s="292"/>
      <c r="DLO44" s="292"/>
      <c r="DLP44" s="292"/>
      <c r="DLQ44" s="291"/>
      <c r="DLR44" s="292"/>
      <c r="DLS44" s="292"/>
      <c r="DLT44" s="292"/>
      <c r="DLU44" s="291"/>
      <c r="DLV44" s="292"/>
      <c r="DLW44" s="292"/>
      <c r="DLX44" s="292"/>
      <c r="DLY44" s="291"/>
      <c r="DLZ44" s="292"/>
      <c r="DMA44" s="292"/>
      <c r="DMB44" s="292"/>
      <c r="DMC44" s="291"/>
      <c r="DMD44" s="292"/>
      <c r="DME44" s="292"/>
      <c r="DMF44" s="292"/>
      <c r="DMG44" s="291"/>
      <c r="DMH44" s="292"/>
      <c r="DMI44" s="292"/>
      <c r="DMJ44" s="292"/>
      <c r="DMK44" s="291"/>
      <c r="DML44" s="292"/>
      <c r="DMM44" s="292"/>
      <c r="DMN44" s="292"/>
      <c r="DMO44" s="291"/>
      <c r="DMP44" s="292"/>
      <c r="DMQ44" s="292"/>
      <c r="DMR44" s="292"/>
      <c r="DMS44" s="291"/>
      <c r="DMT44" s="292"/>
      <c r="DMU44" s="292"/>
      <c r="DMV44" s="292"/>
      <c r="DMW44" s="291"/>
      <c r="DMX44" s="292"/>
      <c r="DMY44" s="292"/>
      <c r="DMZ44" s="292"/>
      <c r="DNA44" s="291"/>
      <c r="DNB44" s="292"/>
      <c r="DNC44" s="292"/>
      <c r="DND44" s="292"/>
      <c r="DNE44" s="291"/>
      <c r="DNF44" s="292"/>
      <c r="DNG44" s="292"/>
      <c r="DNH44" s="292"/>
      <c r="DNI44" s="291"/>
      <c r="DNJ44" s="292"/>
      <c r="DNK44" s="292"/>
      <c r="DNL44" s="292"/>
      <c r="DNM44" s="291"/>
      <c r="DNN44" s="292"/>
      <c r="DNO44" s="292"/>
      <c r="DNP44" s="292"/>
      <c r="DNQ44" s="291"/>
      <c r="DNR44" s="292"/>
      <c r="DNS44" s="292"/>
      <c r="DNT44" s="292"/>
      <c r="DNU44" s="291"/>
      <c r="DNV44" s="292"/>
      <c r="DNW44" s="292"/>
      <c r="DNX44" s="292"/>
      <c r="DNY44" s="291"/>
      <c r="DNZ44" s="292"/>
      <c r="DOA44" s="292"/>
      <c r="DOB44" s="292"/>
      <c r="DOC44" s="291"/>
      <c r="DOD44" s="292"/>
      <c r="DOE44" s="292"/>
      <c r="DOF44" s="292"/>
      <c r="DOG44" s="291"/>
      <c r="DOH44" s="292"/>
      <c r="DOI44" s="292"/>
      <c r="DOJ44" s="292"/>
      <c r="DOK44" s="291"/>
      <c r="DOL44" s="292"/>
      <c r="DOM44" s="292"/>
      <c r="DON44" s="292"/>
      <c r="DOO44" s="291"/>
      <c r="DOP44" s="292"/>
      <c r="DOQ44" s="292"/>
      <c r="DOR44" s="292"/>
      <c r="DOS44" s="291"/>
      <c r="DOT44" s="292"/>
      <c r="DOU44" s="292"/>
      <c r="DOV44" s="292"/>
      <c r="DOW44" s="291"/>
      <c r="DOX44" s="292"/>
      <c r="DOY44" s="292"/>
      <c r="DOZ44" s="292"/>
      <c r="DPA44" s="291"/>
      <c r="DPB44" s="292"/>
      <c r="DPC44" s="292"/>
      <c r="DPD44" s="292"/>
      <c r="DPE44" s="291"/>
      <c r="DPF44" s="292"/>
      <c r="DPG44" s="292"/>
      <c r="DPH44" s="292"/>
      <c r="DPI44" s="291"/>
      <c r="DPJ44" s="292"/>
      <c r="DPK44" s="292"/>
      <c r="DPL44" s="292"/>
      <c r="DPM44" s="291"/>
      <c r="DPN44" s="292"/>
      <c r="DPO44" s="292"/>
      <c r="DPP44" s="292"/>
      <c r="DPQ44" s="291"/>
      <c r="DPR44" s="292"/>
      <c r="DPS44" s="292"/>
      <c r="DPT44" s="292"/>
      <c r="DPU44" s="291"/>
      <c r="DPV44" s="292"/>
      <c r="DPW44" s="292"/>
      <c r="DPX44" s="292"/>
      <c r="DPY44" s="291"/>
      <c r="DPZ44" s="292"/>
      <c r="DQA44" s="292"/>
      <c r="DQB44" s="292"/>
      <c r="DQC44" s="291"/>
      <c r="DQD44" s="292"/>
      <c r="DQE44" s="292"/>
      <c r="DQF44" s="292"/>
      <c r="DQG44" s="291"/>
      <c r="DQH44" s="292"/>
      <c r="DQI44" s="292"/>
      <c r="DQJ44" s="292"/>
      <c r="DQK44" s="291"/>
      <c r="DQL44" s="292"/>
      <c r="DQM44" s="292"/>
      <c r="DQN44" s="292"/>
      <c r="DQO44" s="291"/>
      <c r="DQP44" s="292"/>
      <c r="DQQ44" s="292"/>
      <c r="DQR44" s="292"/>
      <c r="DQS44" s="291"/>
      <c r="DQT44" s="292"/>
      <c r="DQU44" s="292"/>
      <c r="DQV44" s="292"/>
      <c r="DQW44" s="291"/>
      <c r="DQX44" s="292"/>
      <c r="DQY44" s="292"/>
      <c r="DQZ44" s="292"/>
      <c r="DRA44" s="291"/>
      <c r="DRB44" s="292"/>
      <c r="DRC44" s="292"/>
      <c r="DRD44" s="292"/>
      <c r="DRE44" s="291"/>
      <c r="DRF44" s="292"/>
      <c r="DRG44" s="292"/>
      <c r="DRH44" s="292"/>
      <c r="DRI44" s="291"/>
      <c r="DRJ44" s="292"/>
      <c r="DRK44" s="292"/>
      <c r="DRL44" s="292"/>
      <c r="DRM44" s="291"/>
      <c r="DRN44" s="292"/>
      <c r="DRO44" s="292"/>
      <c r="DRP44" s="292"/>
      <c r="DRQ44" s="291"/>
      <c r="DRR44" s="292"/>
      <c r="DRS44" s="292"/>
      <c r="DRT44" s="292"/>
      <c r="DRU44" s="291"/>
      <c r="DRV44" s="292"/>
      <c r="DRW44" s="292"/>
      <c r="DRX44" s="292"/>
      <c r="DRY44" s="291"/>
      <c r="DRZ44" s="292"/>
      <c r="DSA44" s="292"/>
      <c r="DSB44" s="292"/>
      <c r="DSC44" s="291"/>
      <c r="DSD44" s="292"/>
      <c r="DSE44" s="292"/>
      <c r="DSF44" s="292"/>
      <c r="DSG44" s="291"/>
      <c r="DSH44" s="292"/>
      <c r="DSI44" s="292"/>
      <c r="DSJ44" s="292"/>
      <c r="DSK44" s="291"/>
      <c r="DSL44" s="292"/>
      <c r="DSM44" s="292"/>
      <c r="DSN44" s="292"/>
      <c r="DSO44" s="291"/>
      <c r="DSP44" s="292"/>
      <c r="DSQ44" s="292"/>
      <c r="DSR44" s="292"/>
      <c r="DSS44" s="291"/>
      <c r="DST44" s="292"/>
      <c r="DSU44" s="292"/>
      <c r="DSV44" s="292"/>
      <c r="DSW44" s="291"/>
      <c r="DSX44" s="292"/>
      <c r="DSY44" s="292"/>
      <c r="DSZ44" s="292"/>
      <c r="DTA44" s="291"/>
      <c r="DTB44" s="292"/>
      <c r="DTC44" s="292"/>
      <c r="DTD44" s="292"/>
      <c r="DTE44" s="291"/>
      <c r="DTF44" s="292"/>
      <c r="DTG44" s="292"/>
      <c r="DTH44" s="292"/>
      <c r="DTI44" s="291"/>
      <c r="DTJ44" s="292"/>
      <c r="DTK44" s="292"/>
      <c r="DTL44" s="292"/>
      <c r="DTM44" s="291"/>
      <c r="DTN44" s="292"/>
      <c r="DTO44" s="292"/>
      <c r="DTP44" s="292"/>
      <c r="DTQ44" s="291"/>
      <c r="DTR44" s="292"/>
      <c r="DTS44" s="292"/>
      <c r="DTT44" s="292"/>
      <c r="DTU44" s="291"/>
      <c r="DTV44" s="292"/>
      <c r="DTW44" s="292"/>
      <c r="DTX44" s="292"/>
      <c r="DTY44" s="291"/>
      <c r="DTZ44" s="292"/>
      <c r="DUA44" s="292"/>
      <c r="DUB44" s="292"/>
      <c r="DUC44" s="291"/>
      <c r="DUD44" s="292"/>
      <c r="DUE44" s="292"/>
      <c r="DUF44" s="292"/>
      <c r="DUG44" s="291"/>
      <c r="DUH44" s="292"/>
      <c r="DUI44" s="292"/>
      <c r="DUJ44" s="292"/>
      <c r="DUK44" s="291"/>
      <c r="DUL44" s="292"/>
      <c r="DUM44" s="292"/>
      <c r="DUN44" s="292"/>
      <c r="DUO44" s="291"/>
      <c r="DUP44" s="292"/>
      <c r="DUQ44" s="292"/>
      <c r="DUR44" s="292"/>
      <c r="DUS44" s="291"/>
      <c r="DUT44" s="292"/>
      <c r="DUU44" s="292"/>
      <c r="DUV44" s="292"/>
      <c r="DUW44" s="291"/>
      <c r="DUX44" s="292"/>
      <c r="DUY44" s="292"/>
      <c r="DUZ44" s="292"/>
      <c r="DVA44" s="291"/>
      <c r="DVB44" s="292"/>
      <c r="DVC44" s="292"/>
      <c r="DVD44" s="292"/>
      <c r="DVE44" s="291"/>
      <c r="DVF44" s="292"/>
      <c r="DVG44" s="292"/>
      <c r="DVH44" s="292"/>
      <c r="DVI44" s="291"/>
      <c r="DVJ44" s="292"/>
      <c r="DVK44" s="292"/>
      <c r="DVL44" s="292"/>
      <c r="DVM44" s="291"/>
      <c r="DVN44" s="292"/>
      <c r="DVO44" s="292"/>
      <c r="DVP44" s="292"/>
      <c r="DVQ44" s="291"/>
      <c r="DVR44" s="292"/>
      <c r="DVS44" s="292"/>
      <c r="DVT44" s="292"/>
      <c r="DVU44" s="291"/>
      <c r="DVV44" s="292"/>
      <c r="DVW44" s="292"/>
      <c r="DVX44" s="292"/>
      <c r="DVY44" s="291"/>
      <c r="DVZ44" s="292"/>
      <c r="DWA44" s="292"/>
      <c r="DWB44" s="292"/>
      <c r="DWC44" s="291"/>
      <c r="DWD44" s="292"/>
      <c r="DWE44" s="292"/>
      <c r="DWF44" s="292"/>
      <c r="DWG44" s="291"/>
      <c r="DWH44" s="292"/>
      <c r="DWI44" s="292"/>
      <c r="DWJ44" s="292"/>
      <c r="DWK44" s="291"/>
      <c r="DWL44" s="292"/>
      <c r="DWM44" s="292"/>
      <c r="DWN44" s="292"/>
      <c r="DWO44" s="291"/>
      <c r="DWP44" s="292"/>
      <c r="DWQ44" s="292"/>
      <c r="DWR44" s="292"/>
      <c r="DWS44" s="291"/>
      <c r="DWT44" s="292"/>
      <c r="DWU44" s="292"/>
      <c r="DWV44" s="292"/>
      <c r="DWW44" s="291"/>
      <c r="DWX44" s="292"/>
      <c r="DWY44" s="292"/>
      <c r="DWZ44" s="292"/>
      <c r="DXA44" s="291"/>
      <c r="DXB44" s="292"/>
      <c r="DXC44" s="292"/>
      <c r="DXD44" s="292"/>
      <c r="DXE44" s="291"/>
      <c r="DXF44" s="292"/>
      <c r="DXG44" s="292"/>
      <c r="DXH44" s="292"/>
      <c r="DXI44" s="291"/>
      <c r="DXJ44" s="292"/>
      <c r="DXK44" s="292"/>
      <c r="DXL44" s="292"/>
      <c r="DXM44" s="291"/>
      <c r="DXN44" s="292"/>
      <c r="DXO44" s="292"/>
      <c r="DXP44" s="292"/>
      <c r="DXQ44" s="291"/>
      <c r="DXR44" s="292"/>
      <c r="DXS44" s="292"/>
      <c r="DXT44" s="292"/>
      <c r="DXU44" s="291"/>
      <c r="DXV44" s="292"/>
      <c r="DXW44" s="292"/>
      <c r="DXX44" s="292"/>
      <c r="DXY44" s="291"/>
      <c r="DXZ44" s="292"/>
      <c r="DYA44" s="292"/>
      <c r="DYB44" s="292"/>
      <c r="DYC44" s="291"/>
      <c r="DYD44" s="292"/>
      <c r="DYE44" s="292"/>
      <c r="DYF44" s="292"/>
      <c r="DYG44" s="291"/>
      <c r="DYH44" s="292"/>
      <c r="DYI44" s="292"/>
      <c r="DYJ44" s="292"/>
      <c r="DYK44" s="291"/>
      <c r="DYL44" s="292"/>
      <c r="DYM44" s="292"/>
      <c r="DYN44" s="292"/>
      <c r="DYO44" s="291"/>
      <c r="DYP44" s="292"/>
      <c r="DYQ44" s="292"/>
      <c r="DYR44" s="292"/>
      <c r="DYS44" s="291"/>
      <c r="DYT44" s="292"/>
      <c r="DYU44" s="292"/>
      <c r="DYV44" s="292"/>
      <c r="DYW44" s="291"/>
      <c r="DYX44" s="292"/>
      <c r="DYY44" s="292"/>
      <c r="DYZ44" s="292"/>
      <c r="DZA44" s="291"/>
      <c r="DZB44" s="292"/>
      <c r="DZC44" s="292"/>
      <c r="DZD44" s="292"/>
      <c r="DZE44" s="291"/>
      <c r="DZF44" s="292"/>
      <c r="DZG44" s="292"/>
      <c r="DZH44" s="292"/>
      <c r="DZI44" s="291"/>
      <c r="DZJ44" s="292"/>
      <c r="DZK44" s="292"/>
      <c r="DZL44" s="292"/>
      <c r="DZM44" s="291"/>
      <c r="DZN44" s="292"/>
      <c r="DZO44" s="292"/>
      <c r="DZP44" s="292"/>
      <c r="DZQ44" s="291"/>
      <c r="DZR44" s="292"/>
      <c r="DZS44" s="292"/>
      <c r="DZT44" s="292"/>
      <c r="DZU44" s="291"/>
      <c r="DZV44" s="292"/>
      <c r="DZW44" s="292"/>
      <c r="DZX44" s="292"/>
      <c r="DZY44" s="291"/>
      <c r="DZZ44" s="292"/>
      <c r="EAA44" s="292"/>
      <c r="EAB44" s="292"/>
      <c r="EAC44" s="291"/>
      <c r="EAD44" s="292"/>
      <c r="EAE44" s="292"/>
      <c r="EAF44" s="292"/>
      <c r="EAG44" s="291"/>
      <c r="EAH44" s="292"/>
      <c r="EAI44" s="292"/>
      <c r="EAJ44" s="292"/>
      <c r="EAK44" s="291"/>
      <c r="EAL44" s="292"/>
      <c r="EAM44" s="292"/>
      <c r="EAN44" s="292"/>
      <c r="EAO44" s="291"/>
      <c r="EAP44" s="292"/>
      <c r="EAQ44" s="292"/>
      <c r="EAR44" s="292"/>
      <c r="EAS44" s="291"/>
      <c r="EAT44" s="292"/>
      <c r="EAU44" s="292"/>
      <c r="EAV44" s="292"/>
      <c r="EAW44" s="291"/>
      <c r="EAX44" s="292"/>
      <c r="EAY44" s="292"/>
      <c r="EAZ44" s="292"/>
      <c r="EBA44" s="291"/>
      <c r="EBB44" s="292"/>
      <c r="EBC44" s="292"/>
      <c r="EBD44" s="292"/>
      <c r="EBE44" s="291"/>
      <c r="EBF44" s="292"/>
      <c r="EBG44" s="292"/>
      <c r="EBH44" s="292"/>
      <c r="EBI44" s="291"/>
      <c r="EBJ44" s="292"/>
      <c r="EBK44" s="292"/>
      <c r="EBL44" s="292"/>
      <c r="EBM44" s="291"/>
      <c r="EBN44" s="292"/>
      <c r="EBO44" s="292"/>
      <c r="EBP44" s="292"/>
      <c r="EBQ44" s="291"/>
      <c r="EBR44" s="292"/>
      <c r="EBS44" s="292"/>
      <c r="EBT44" s="292"/>
      <c r="EBU44" s="291"/>
      <c r="EBV44" s="292"/>
      <c r="EBW44" s="292"/>
      <c r="EBX44" s="292"/>
      <c r="EBY44" s="291"/>
      <c r="EBZ44" s="292"/>
      <c r="ECA44" s="292"/>
      <c r="ECB44" s="292"/>
      <c r="ECC44" s="291"/>
      <c r="ECD44" s="292"/>
      <c r="ECE44" s="292"/>
      <c r="ECF44" s="292"/>
      <c r="ECG44" s="291"/>
      <c r="ECH44" s="292"/>
      <c r="ECI44" s="292"/>
      <c r="ECJ44" s="292"/>
      <c r="ECK44" s="291"/>
      <c r="ECL44" s="292"/>
      <c r="ECM44" s="292"/>
      <c r="ECN44" s="292"/>
      <c r="ECO44" s="291"/>
      <c r="ECP44" s="292"/>
      <c r="ECQ44" s="292"/>
      <c r="ECR44" s="292"/>
      <c r="ECS44" s="291"/>
      <c r="ECT44" s="292"/>
      <c r="ECU44" s="292"/>
      <c r="ECV44" s="292"/>
      <c r="ECW44" s="291"/>
      <c r="ECX44" s="292"/>
      <c r="ECY44" s="292"/>
      <c r="ECZ44" s="292"/>
      <c r="EDA44" s="291"/>
      <c r="EDB44" s="292"/>
      <c r="EDC44" s="292"/>
      <c r="EDD44" s="292"/>
      <c r="EDE44" s="291"/>
      <c r="EDF44" s="292"/>
      <c r="EDG44" s="292"/>
      <c r="EDH44" s="292"/>
      <c r="EDI44" s="291"/>
      <c r="EDJ44" s="292"/>
      <c r="EDK44" s="292"/>
      <c r="EDL44" s="292"/>
      <c r="EDM44" s="291"/>
      <c r="EDN44" s="292"/>
      <c r="EDO44" s="292"/>
      <c r="EDP44" s="292"/>
      <c r="EDQ44" s="291"/>
      <c r="EDR44" s="292"/>
      <c r="EDS44" s="292"/>
      <c r="EDT44" s="292"/>
      <c r="EDU44" s="291"/>
      <c r="EDV44" s="292"/>
      <c r="EDW44" s="292"/>
      <c r="EDX44" s="292"/>
      <c r="EDY44" s="291"/>
      <c r="EDZ44" s="292"/>
      <c r="EEA44" s="292"/>
      <c r="EEB44" s="292"/>
      <c r="EEC44" s="291"/>
      <c r="EED44" s="292"/>
      <c r="EEE44" s="292"/>
      <c r="EEF44" s="292"/>
      <c r="EEG44" s="291"/>
      <c r="EEH44" s="292"/>
      <c r="EEI44" s="292"/>
      <c r="EEJ44" s="292"/>
      <c r="EEK44" s="291"/>
      <c r="EEL44" s="292"/>
      <c r="EEM44" s="292"/>
      <c r="EEN44" s="292"/>
      <c r="EEO44" s="291"/>
      <c r="EEP44" s="292"/>
      <c r="EEQ44" s="292"/>
      <c r="EER44" s="292"/>
      <c r="EES44" s="291"/>
      <c r="EET44" s="292"/>
      <c r="EEU44" s="292"/>
      <c r="EEV44" s="292"/>
      <c r="EEW44" s="291"/>
      <c r="EEX44" s="292"/>
      <c r="EEY44" s="292"/>
      <c r="EEZ44" s="292"/>
      <c r="EFA44" s="291"/>
      <c r="EFB44" s="292"/>
      <c r="EFC44" s="292"/>
      <c r="EFD44" s="292"/>
      <c r="EFE44" s="291"/>
      <c r="EFF44" s="292"/>
      <c r="EFG44" s="292"/>
      <c r="EFH44" s="292"/>
      <c r="EFI44" s="291"/>
      <c r="EFJ44" s="292"/>
      <c r="EFK44" s="292"/>
      <c r="EFL44" s="292"/>
      <c r="EFM44" s="291"/>
      <c r="EFN44" s="292"/>
      <c r="EFO44" s="292"/>
      <c r="EFP44" s="292"/>
      <c r="EFQ44" s="291"/>
      <c r="EFR44" s="292"/>
      <c r="EFS44" s="292"/>
      <c r="EFT44" s="292"/>
      <c r="EFU44" s="291"/>
      <c r="EFV44" s="292"/>
      <c r="EFW44" s="292"/>
      <c r="EFX44" s="292"/>
      <c r="EFY44" s="291"/>
      <c r="EFZ44" s="292"/>
      <c r="EGA44" s="292"/>
      <c r="EGB44" s="292"/>
      <c r="EGC44" s="291"/>
      <c r="EGD44" s="292"/>
      <c r="EGE44" s="292"/>
      <c r="EGF44" s="292"/>
      <c r="EGG44" s="291"/>
      <c r="EGH44" s="292"/>
      <c r="EGI44" s="292"/>
      <c r="EGJ44" s="292"/>
      <c r="EGK44" s="291"/>
      <c r="EGL44" s="292"/>
      <c r="EGM44" s="292"/>
      <c r="EGN44" s="292"/>
      <c r="EGO44" s="291"/>
      <c r="EGP44" s="292"/>
      <c r="EGQ44" s="292"/>
      <c r="EGR44" s="292"/>
      <c r="EGS44" s="291"/>
      <c r="EGT44" s="292"/>
      <c r="EGU44" s="292"/>
      <c r="EGV44" s="292"/>
      <c r="EGW44" s="291"/>
      <c r="EGX44" s="292"/>
      <c r="EGY44" s="292"/>
      <c r="EGZ44" s="292"/>
      <c r="EHA44" s="291"/>
      <c r="EHB44" s="292"/>
      <c r="EHC44" s="292"/>
      <c r="EHD44" s="292"/>
      <c r="EHE44" s="291"/>
      <c r="EHF44" s="292"/>
      <c r="EHG44" s="292"/>
      <c r="EHH44" s="292"/>
      <c r="EHI44" s="291"/>
      <c r="EHJ44" s="292"/>
      <c r="EHK44" s="292"/>
      <c r="EHL44" s="292"/>
      <c r="EHM44" s="291"/>
      <c r="EHN44" s="292"/>
      <c r="EHO44" s="292"/>
      <c r="EHP44" s="292"/>
      <c r="EHQ44" s="291"/>
      <c r="EHR44" s="292"/>
      <c r="EHS44" s="292"/>
      <c r="EHT44" s="292"/>
      <c r="EHU44" s="291"/>
      <c r="EHV44" s="292"/>
      <c r="EHW44" s="292"/>
      <c r="EHX44" s="292"/>
      <c r="EHY44" s="291"/>
      <c r="EHZ44" s="292"/>
      <c r="EIA44" s="292"/>
      <c r="EIB44" s="292"/>
      <c r="EIC44" s="291"/>
      <c r="EID44" s="292"/>
      <c r="EIE44" s="292"/>
      <c r="EIF44" s="292"/>
      <c r="EIG44" s="291"/>
      <c r="EIH44" s="292"/>
      <c r="EII44" s="292"/>
      <c r="EIJ44" s="292"/>
      <c r="EIK44" s="291"/>
      <c r="EIL44" s="292"/>
      <c r="EIM44" s="292"/>
      <c r="EIN44" s="292"/>
      <c r="EIO44" s="291"/>
      <c r="EIP44" s="292"/>
      <c r="EIQ44" s="292"/>
      <c r="EIR44" s="292"/>
      <c r="EIS44" s="291"/>
      <c r="EIT44" s="292"/>
      <c r="EIU44" s="292"/>
      <c r="EIV44" s="292"/>
      <c r="EIW44" s="291"/>
      <c r="EIX44" s="292"/>
      <c r="EIY44" s="292"/>
      <c r="EIZ44" s="292"/>
      <c r="EJA44" s="291"/>
      <c r="EJB44" s="292"/>
      <c r="EJC44" s="292"/>
      <c r="EJD44" s="292"/>
      <c r="EJE44" s="291"/>
      <c r="EJF44" s="292"/>
      <c r="EJG44" s="292"/>
      <c r="EJH44" s="292"/>
      <c r="EJI44" s="291"/>
      <c r="EJJ44" s="292"/>
      <c r="EJK44" s="292"/>
      <c r="EJL44" s="292"/>
      <c r="EJM44" s="291"/>
      <c r="EJN44" s="292"/>
      <c r="EJO44" s="292"/>
      <c r="EJP44" s="292"/>
      <c r="EJQ44" s="291"/>
      <c r="EJR44" s="292"/>
      <c r="EJS44" s="292"/>
      <c r="EJT44" s="292"/>
      <c r="EJU44" s="291"/>
      <c r="EJV44" s="292"/>
      <c r="EJW44" s="292"/>
      <c r="EJX44" s="292"/>
      <c r="EJY44" s="291"/>
      <c r="EJZ44" s="292"/>
      <c r="EKA44" s="292"/>
      <c r="EKB44" s="292"/>
      <c r="EKC44" s="291"/>
      <c r="EKD44" s="292"/>
      <c r="EKE44" s="292"/>
      <c r="EKF44" s="292"/>
      <c r="EKG44" s="291"/>
      <c r="EKH44" s="292"/>
      <c r="EKI44" s="292"/>
      <c r="EKJ44" s="292"/>
      <c r="EKK44" s="291"/>
      <c r="EKL44" s="292"/>
      <c r="EKM44" s="292"/>
      <c r="EKN44" s="292"/>
      <c r="EKO44" s="291"/>
      <c r="EKP44" s="292"/>
      <c r="EKQ44" s="292"/>
      <c r="EKR44" s="292"/>
      <c r="EKS44" s="291"/>
      <c r="EKT44" s="292"/>
      <c r="EKU44" s="292"/>
      <c r="EKV44" s="292"/>
      <c r="EKW44" s="291"/>
      <c r="EKX44" s="292"/>
      <c r="EKY44" s="292"/>
      <c r="EKZ44" s="292"/>
      <c r="ELA44" s="291"/>
      <c r="ELB44" s="292"/>
      <c r="ELC44" s="292"/>
      <c r="ELD44" s="292"/>
      <c r="ELE44" s="291"/>
      <c r="ELF44" s="292"/>
      <c r="ELG44" s="292"/>
      <c r="ELH44" s="292"/>
      <c r="ELI44" s="291"/>
      <c r="ELJ44" s="292"/>
      <c r="ELK44" s="292"/>
      <c r="ELL44" s="292"/>
      <c r="ELM44" s="291"/>
      <c r="ELN44" s="292"/>
      <c r="ELO44" s="292"/>
      <c r="ELP44" s="292"/>
      <c r="ELQ44" s="291"/>
      <c r="ELR44" s="292"/>
      <c r="ELS44" s="292"/>
      <c r="ELT44" s="292"/>
      <c r="ELU44" s="291"/>
      <c r="ELV44" s="292"/>
      <c r="ELW44" s="292"/>
      <c r="ELX44" s="292"/>
      <c r="ELY44" s="291"/>
      <c r="ELZ44" s="292"/>
      <c r="EMA44" s="292"/>
      <c r="EMB44" s="292"/>
      <c r="EMC44" s="291"/>
      <c r="EMD44" s="292"/>
      <c r="EME44" s="292"/>
      <c r="EMF44" s="292"/>
      <c r="EMG44" s="291"/>
      <c r="EMH44" s="292"/>
      <c r="EMI44" s="292"/>
      <c r="EMJ44" s="292"/>
      <c r="EMK44" s="291"/>
      <c r="EML44" s="292"/>
      <c r="EMM44" s="292"/>
      <c r="EMN44" s="292"/>
      <c r="EMO44" s="291"/>
      <c r="EMP44" s="292"/>
      <c r="EMQ44" s="292"/>
      <c r="EMR44" s="292"/>
      <c r="EMS44" s="291"/>
      <c r="EMT44" s="292"/>
      <c r="EMU44" s="292"/>
      <c r="EMV44" s="292"/>
      <c r="EMW44" s="291"/>
      <c r="EMX44" s="292"/>
      <c r="EMY44" s="292"/>
      <c r="EMZ44" s="292"/>
      <c r="ENA44" s="291"/>
      <c r="ENB44" s="292"/>
      <c r="ENC44" s="292"/>
      <c r="END44" s="292"/>
      <c r="ENE44" s="291"/>
      <c r="ENF44" s="292"/>
      <c r="ENG44" s="292"/>
      <c r="ENH44" s="292"/>
      <c r="ENI44" s="291"/>
      <c r="ENJ44" s="292"/>
      <c r="ENK44" s="292"/>
      <c r="ENL44" s="292"/>
      <c r="ENM44" s="291"/>
      <c r="ENN44" s="292"/>
      <c r="ENO44" s="292"/>
      <c r="ENP44" s="292"/>
      <c r="ENQ44" s="291"/>
      <c r="ENR44" s="292"/>
      <c r="ENS44" s="292"/>
      <c r="ENT44" s="292"/>
      <c r="ENU44" s="291"/>
      <c r="ENV44" s="292"/>
      <c r="ENW44" s="292"/>
      <c r="ENX44" s="292"/>
      <c r="ENY44" s="291"/>
      <c r="ENZ44" s="292"/>
      <c r="EOA44" s="292"/>
      <c r="EOB44" s="292"/>
      <c r="EOC44" s="291"/>
      <c r="EOD44" s="292"/>
      <c r="EOE44" s="292"/>
      <c r="EOF44" s="292"/>
      <c r="EOG44" s="291"/>
      <c r="EOH44" s="292"/>
      <c r="EOI44" s="292"/>
      <c r="EOJ44" s="292"/>
      <c r="EOK44" s="291"/>
      <c r="EOL44" s="292"/>
      <c r="EOM44" s="292"/>
      <c r="EON44" s="292"/>
      <c r="EOO44" s="291"/>
      <c r="EOP44" s="292"/>
      <c r="EOQ44" s="292"/>
      <c r="EOR44" s="292"/>
      <c r="EOS44" s="291"/>
      <c r="EOT44" s="292"/>
      <c r="EOU44" s="292"/>
      <c r="EOV44" s="292"/>
      <c r="EOW44" s="291"/>
      <c r="EOX44" s="292"/>
      <c r="EOY44" s="292"/>
      <c r="EOZ44" s="292"/>
      <c r="EPA44" s="291"/>
      <c r="EPB44" s="292"/>
      <c r="EPC44" s="292"/>
      <c r="EPD44" s="292"/>
      <c r="EPE44" s="291"/>
      <c r="EPF44" s="292"/>
      <c r="EPG44" s="292"/>
      <c r="EPH44" s="292"/>
      <c r="EPI44" s="291"/>
      <c r="EPJ44" s="292"/>
      <c r="EPK44" s="292"/>
      <c r="EPL44" s="292"/>
      <c r="EPM44" s="291"/>
      <c r="EPN44" s="292"/>
      <c r="EPO44" s="292"/>
      <c r="EPP44" s="292"/>
      <c r="EPQ44" s="291"/>
      <c r="EPR44" s="292"/>
      <c r="EPS44" s="292"/>
      <c r="EPT44" s="292"/>
      <c r="EPU44" s="291"/>
      <c r="EPV44" s="292"/>
      <c r="EPW44" s="292"/>
      <c r="EPX44" s="292"/>
      <c r="EPY44" s="291"/>
      <c r="EPZ44" s="292"/>
      <c r="EQA44" s="292"/>
      <c r="EQB44" s="292"/>
      <c r="EQC44" s="291"/>
      <c r="EQD44" s="292"/>
      <c r="EQE44" s="292"/>
      <c r="EQF44" s="292"/>
      <c r="EQG44" s="291"/>
      <c r="EQH44" s="292"/>
      <c r="EQI44" s="292"/>
      <c r="EQJ44" s="292"/>
      <c r="EQK44" s="291"/>
      <c r="EQL44" s="292"/>
      <c r="EQM44" s="292"/>
      <c r="EQN44" s="292"/>
      <c r="EQO44" s="291"/>
      <c r="EQP44" s="292"/>
      <c r="EQQ44" s="292"/>
      <c r="EQR44" s="292"/>
      <c r="EQS44" s="291"/>
      <c r="EQT44" s="292"/>
      <c r="EQU44" s="292"/>
      <c r="EQV44" s="292"/>
      <c r="EQW44" s="291"/>
      <c r="EQX44" s="292"/>
      <c r="EQY44" s="292"/>
      <c r="EQZ44" s="292"/>
      <c r="ERA44" s="291"/>
      <c r="ERB44" s="292"/>
      <c r="ERC44" s="292"/>
      <c r="ERD44" s="292"/>
      <c r="ERE44" s="291"/>
      <c r="ERF44" s="292"/>
      <c r="ERG44" s="292"/>
      <c r="ERH44" s="292"/>
      <c r="ERI44" s="291"/>
      <c r="ERJ44" s="292"/>
      <c r="ERK44" s="292"/>
      <c r="ERL44" s="292"/>
      <c r="ERM44" s="291"/>
      <c r="ERN44" s="292"/>
      <c r="ERO44" s="292"/>
      <c r="ERP44" s="292"/>
      <c r="ERQ44" s="291"/>
      <c r="ERR44" s="292"/>
      <c r="ERS44" s="292"/>
      <c r="ERT44" s="292"/>
      <c r="ERU44" s="291"/>
      <c r="ERV44" s="292"/>
      <c r="ERW44" s="292"/>
      <c r="ERX44" s="292"/>
      <c r="ERY44" s="291"/>
      <c r="ERZ44" s="292"/>
      <c r="ESA44" s="292"/>
      <c r="ESB44" s="292"/>
      <c r="ESC44" s="291"/>
      <c r="ESD44" s="292"/>
      <c r="ESE44" s="292"/>
      <c r="ESF44" s="292"/>
      <c r="ESG44" s="291"/>
      <c r="ESH44" s="292"/>
      <c r="ESI44" s="292"/>
      <c r="ESJ44" s="292"/>
      <c r="ESK44" s="291"/>
      <c r="ESL44" s="292"/>
      <c r="ESM44" s="292"/>
      <c r="ESN44" s="292"/>
      <c r="ESO44" s="291"/>
      <c r="ESP44" s="292"/>
      <c r="ESQ44" s="292"/>
      <c r="ESR44" s="292"/>
      <c r="ESS44" s="291"/>
      <c r="EST44" s="292"/>
      <c r="ESU44" s="292"/>
      <c r="ESV44" s="292"/>
      <c r="ESW44" s="291"/>
      <c r="ESX44" s="292"/>
      <c r="ESY44" s="292"/>
      <c r="ESZ44" s="292"/>
      <c r="ETA44" s="291"/>
      <c r="ETB44" s="292"/>
      <c r="ETC44" s="292"/>
      <c r="ETD44" s="292"/>
      <c r="ETE44" s="291"/>
      <c r="ETF44" s="292"/>
      <c r="ETG44" s="292"/>
      <c r="ETH44" s="292"/>
      <c r="ETI44" s="291"/>
      <c r="ETJ44" s="292"/>
      <c r="ETK44" s="292"/>
      <c r="ETL44" s="292"/>
      <c r="ETM44" s="291"/>
      <c r="ETN44" s="292"/>
      <c r="ETO44" s="292"/>
      <c r="ETP44" s="292"/>
      <c r="ETQ44" s="291"/>
      <c r="ETR44" s="292"/>
      <c r="ETS44" s="292"/>
      <c r="ETT44" s="292"/>
      <c r="ETU44" s="291"/>
      <c r="ETV44" s="292"/>
      <c r="ETW44" s="292"/>
      <c r="ETX44" s="292"/>
      <c r="ETY44" s="291"/>
      <c r="ETZ44" s="292"/>
      <c r="EUA44" s="292"/>
      <c r="EUB44" s="292"/>
      <c r="EUC44" s="291"/>
      <c r="EUD44" s="292"/>
      <c r="EUE44" s="292"/>
      <c r="EUF44" s="292"/>
      <c r="EUG44" s="291"/>
      <c r="EUH44" s="292"/>
      <c r="EUI44" s="292"/>
      <c r="EUJ44" s="292"/>
      <c r="EUK44" s="291"/>
      <c r="EUL44" s="292"/>
      <c r="EUM44" s="292"/>
      <c r="EUN44" s="292"/>
      <c r="EUO44" s="291"/>
      <c r="EUP44" s="292"/>
      <c r="EUQ44" s="292"/>
      <c r="EUR44" s="292"/>
      <c r="EUS44" s="291"/>
      <c r="EUT44" s="292"/>
      <c r="EUU44" s="292"/>
      <c r="EUV44" s="292"/>
      <c r="EUW44" s="291"/>
      <c r="EUX44" s="292"/>
      <c r="EUY44" s="292"/>
      <c r="EUZ44" s="292"/>
      <c r="EVA44" s="291"/>
      <c r="EVB44" s="292"/>
      <c r="EVC44" s="292"/>
      <c r="EVD44" s="292"/>
      <c r="EVE44" s="291"/>
      <c r="EVF44" s="292"/>
      <c r="EVG44" s="292"/>
      <c r="EVH44" s="292"/>
      <c r="EVI44" s="291"/>
      <c r="EVJ44" s="292"/>
      <c r="EVK44" s="292"/>
      <c r="EVL44" s="292"/>
      <c r="EVM44" s="291"/>
      <c r="EVN44" s="292"/>
      <c r="EVO44" s="292"/>
      <c r="EVP44" s="292"/>
      <c r="EVQ44" s="291"/>
      <c r="EVR44" s="292"/>
      <c r="EVS44" s="292"/>
      <c r="EVT44" s="292"/>
      <c r="EVU44" s="291"/>
      <c r="EVV44" s="292"/>
      <c r="EVW44" s="292"/>
      <c r="EVX44" s="292"/>
      <c r="EVY44" s="291"/>
      <c r="EVZ44" s="292"/>
      <c r="EWA44" s="292"/>
      <c r="EWB44" s="292"/>
      <c r="EWC44" s="291"/>
      <c r="EWD44" s="292"/>
      <c r="EWE44" s="292"/>
      <c r="EWF44" s="292"/>
      <c r="EWG44" s="291"/>
      <c r="EWH44" s="292"/>
      <c r="EWI44" s="292"/>
      <c r="EWJ44" s="292"/>
      <c r="EWK44" s="291"/>
      <c r="EWL44" s="292"/>
      <c r="EWM44" s="292"/>
      <c r="EWN44" s="292"/>
      <c r="EWO44" s="291"/>
      <c r="EWP44" s="292"/>
      <c r="EWQ44" s="292"/>
      <c r="EWR44" s="292"/>
      <c r="EWS44" s="291"/>
      <c r="EWT44" s="292"/>
      <c r="EWU44" s="292"/>
      <c r="EWV44" s="292"/>
      <c r="EWW44" s="291"/>
      <c r="EWX44" s="292"/>
      <c r="EWY44" s="292"/>
      <c r="EWZ44" s="292"/>
      <c r="EXA44" s="291"/>
      <c r="EXB44" s="292"/>
      <c r="EXC44" s="292"/>
      <c r="EXD44" s="292"/>
      <c r="EXE44" s="291"/>
      <c r="EXF44" s="292"/>
      <c r="EXG44" s="292"/>
      <c r="EXH44" s="292"/>
      <c r="EXI44" s="291"/>
      <c r="EXJ44" s="292"/>
      <c r="EXK44" s="292"/>
      <c r="EXL44" s="292"/>
      <c r="EXM44" s="291"/>
      <c r="EXN44" s="292"/>
      <c r="EXO44" s="292"/>
      <c r="EXP44" s="292"/>
      <c r="EXQ44" s="291"/>
      <c r="EXR44" s="292"/>
      <c r="EXS44" s="292"/>
      <c r="EXT44" s="292"/>
      <c r="EXU44" s="291"/>
      <c r="EXV44" s="292"/>
      <c r="EXW44" s="292"/>
      <c r="EXX44" s="292"/>
      <c r="EXY44" s="291"/>
      <c r="EXZ44" s="292"/>
      <c r="EYA44" s="292"/>
      <c r="EYB44" s="292"/>
      <c r="EYC44" s="291"/>
      <c r="EYD44" s="292"/>
      <c r="EYE44" s="292"/>
      <c r="EYF44" s="292"/>
      <c r="EYG44" s="291"/>
      <c r="EYH44" s="292"/>
      <c r="EYI44" s="292"/>
      <c r="EYJ44" s="292"/>
      <c r="EYK44" s="291"/>
      <c r="EYL44" s="292"/>
      <c r="EYM44" s="292"/>
      <c r="EYN44" s="292"/>
      <c r="EYO44" s="291"/>
      <c r="EYP44" s="292"/>
      <c r="EYQ44" s="292"/>
      <c r="EYR44" s="292"/>
      <c r="EYS44" s="291"/>
      <c r="EYT44" s="292"/>
      <c r="EYU44" s="292"/>
      <c r="EYV44" s="292"/>
      <c r="EYW44" s="291"/>
      <c r="EYX44" s="292"/>
      <c r="EYY44" s="292"/>
      <c r="EYZ44" s="292"/>
      <c r="EZA44" s="291"/>
      <c r="EZB44" s="292"/>
      <c r="EZC44" s="292"/>
      <c r="EZD44" s="292"/>
      <c r="EZE44" s="291"/>
      <c r="EZF44" s="292"/>
      <c r="EZG44" s="292"/>
      <c r="EZH44" s="292"/>
      <c r="EZI44" s="291"/>
      <c r="EZJ44" s="292"/>
      <c r="EZK44" s="292"/>
      <c r="EZL44" s="292"/>
      <c r="EZM44" s="291"/>
      <c r="EZN44" s="292"/>
      <c r="EZO44" s="292"/>
      <c r="EZP44" s="292"/>
      <c r="EZQ44" s="291"/>
      <c r="EZR44" s="292"/>
      <c r="EZS44" s="292"/>
      <c r="EZT44" s="292"/>
      <c r="EZU44" s="291"/>
      <c r="EZV44" s="292"/>
      <c r="EZW44" s="292"/>
      <c r="EZX44" s="292"/>
      <c r="EZY44" s="291"/>
      <c r="EZZ44" s="292"/>
      <c r="FAA44" s="292"/>
      <c r="FAB44" s="292"/>
      <c r="FAC44" s="291"/>
      <c r="FAD44" s="292"/>
      <c r="FAE44" s="292"/>
      <c r="FAF44" s="292"/>
      <c r="FAG44" s="291"/>
      <c r="FAH44" s="292"/>
      <c r="FAI44" s="292"/>
      <c r="FAJ44" s="292"/>
      <c r="FAK44" s="291"/>
      <c r="FAL44" s="292"/>
      <c r="FAM44" s="292"/>
      <c r="FAN44" s="292"/>
      <c r="FAO44" s="291"/>
      <c r="FAP44" s="292"/>
      <c r="FAQ44" s="292"/>
      <c r="FAR44" s="292"/>
      <c r="FAS44" s="291"/>
      <c r="FAT44" s="292"/>
      <c r="FAU44" s="292"/>
      <c r="FAV44" s="292"/>
      <c r="FAW44" s="291"/>
      <c r="FAX44" s="292"/>
      <c r="FAY44" s="292"/>
      <c r="FAZ44" s="292"/>
      <c r="FBA44" s="291"/>
      <c r="FBB44" s="292"/>
      <c r="FBC44" s="292"/>
      <c r="FBD44" s="292"/>
      <c r="FBE44" s="291"/>
      <c r="FBF44" s="292"/>
      <c r="FBG44" s="292"/>
      <c r="FBH44" s="292"/>
      <c r="FBI44" s="291"/>
      <c r="FBJ44" s="292"/>
      <c r="FBK44" s="292"/>
      <c r="FBL44" s="292"/>
      <c r="FBM44" s="291"/>
      <c r="FBN44" s="292"/>
      <c r="FBO44" s="292"/>
      <c r="FBP44" s="292"/>
      <c r="FBQ44" s="291"/>
      <c r="FBR44" s="292"/>
      <c r="FBS44" s="292"/>
      <c r="FBT44" s="292"/>
      <c r="FBU44" s="291"/>
      <c r="FBV44" s="292"/>
      <c r="FBW44" s="292"/>
      <c r="FBX44" s="292"/>
      <c r="FBY44" s="291"/>
      <c r="FBZ44" s="292"/>
      <c r="FCA44" s="292"/>
      <c r="FCB44" s="292"/>
      <c r="FCC44" s="291"/>
      <c r="FCD44" s="292"/>
      <c r="FCE44" s="292"/>
      <c r="FCF44" s="292"/>
      <c r="FCG44" s="291"/>
      <c r="FCH44" s="292"/>
      <c r="FCI44" s="292"/>
      <c r="FCJ44" s="292"/>
      <c r="FCK44" s="291"/>
      <c r="FCL44" s="292"/>
      <c r="FCM44" s="292"/>
      <c r="FCN44" s="292"/>
      <c r="FCO44" s="291"/>
      <c r="FCP44" s="292"/>
      <c r="FCQ44" s="292"/>
      <c r="FCR44" s="292"/>
      <c r="FCS44" s="291"/>
      <c r="FCT44" s="292"/>
      <c r="FCU44" s="292"/>
      <c r="FCV44" s="292"/>
      <c r="FCW44" s="291"/>
      <c r="FCX44" s="292"/>
      <c r="FCY44" s="292"/>
      <c r="FCZ44" s="292"/>
      <c r="FDA44" s="291"/>
      <c r="FDB44" s="292"/>
      <c r="FDC44" s="292"/>
      <c r="FDD44" s="292"/>
      <c r="FDE44" s="291"/>
      <c r="FDF44" s="292"/>
      <c r="FDG44" s="292"/>
      <c r="FDH44" s="292"/>
      <c r="FDI44" s="291"/>
      <c r="FDJ44" s="292"/>
      <c r="FDK44" s="292"/>
      <c r="FDL44" s="292"/>
      <c r="FDM44" s="291"/>
      <c r="FDN44" s="292"/>
      <c r="FDO44" s="292"/>
      <c r="FDP44" s="292"/>
      <c r="FDQ44" s="291"/>
      <c r="FDR44" s="292"/>
      <c r="FDS44" s="292"/>
      <c r="FDT44" s="292"/>
      <c r="FDU44" s="291"/>
      <c r="FDV44" s="292"/>
      <c r="FDW44" s="292"/>
      <c r="FDX44" s="292"/>
      <c r="FDY44" s="291"/>
      <c r="FDZ44" s="292"/>
      <c r="FEA44" s="292"/>
      <c r="FEB44" s="292"/>
      <c r="FEC44" s="291"/>
      <c r="FED44" s="292"/>
      <c r="FEE44" s="292"/>
      <c r="FEF44" s="292"/>
      <c r="FEG44" s="291"/>
      <c r="FEH44" s="292"/>
      <c r="FEI44" s="292"/>
      <c r="FEJ44" s="292"/>
      <c r="FEK44" s="291"/>
      <c r="FEL44" s="292"/>
      <c r="FEM44" s="292"/>
      <c r="FEN44" s="292"/>
      <c r="FEO44" s="291"/>
      <c r="FEP44" s="292"/>
      <c r="FEQ44" s="292"/>
      <c r="FER44" s="292"/>
      <c r="FES44" s="291"/>
      <c r="FET44" s="292"/>
      <c r="FEU44" s="292"/>
      <c r="FEV44" s="292"/>
      <c r="FEW44" s="291"/>
      <c r="FEX44" s="292"/>
      <c r="FEY44" s="292"/>
      <c r="FEZ44" s="292"/>
      <c r="FFA44" s="291"/>
      <c r="FFB44" s="292"/>
      <c r="FFC44" s="292"/>
      <c r="FFD44" s="292"/>
      <c r="FFE44" s="291"/>
      <c r="FFF44" s="292"/>
      <c r="FFG44" s="292"/>
      <c r="FFH44" s="292"/>
      <c r="FFI44" s="291"/>
      <c r="FFJ44" s="292"/>
      <c r="FFK44" s="292"/>
      <c r="FFL44" s="292"/>
      <c r="FFM44" s="291"/>
      <c r="FFN44" s="292"/>
      <c r="FFO44" s="292"/>
      <c r="FFP44" s="292"/>
      <c r="FFQ44" s="291"/>
      <c r="FFR44" s="292"/>
      <c r="FFS44" s="292"/>
      <c r="FFT44" s="292"/>
      <c r="FFU44" s="291"/>
      <c r="FFV44" s="292"/>
      <c r="FFW44" s="292"/>
      <c r="FFX44" s="292"/>
      <c r="FFY44" s="291"/>
      <c r="FFZ44" s="292"/>
      <c r="FGA44" s="292"/>
      <c r="FGB44" s="292"/>
      <c r="FGC44" s="291"/>
      <c r="FGD44" s="292"/>
      <c r="FGE44" s="292"/>
      <c r="FGF44" s="292"/>
      <c r="FGG44" s="291"/>
      <c r="FGH44" s="292"/>
      <c r="FGI44" s="292"/>
      <c r="FGJ44" s="292"/>
      <c r="FGK44" s="291"/>
      <c r="FGL44" s="292"/>
      <c r="FGM44" s="292"/>
      <c r="FGN44" s="292"/>
      <c r="FGO44" s="291"/>
      <c r="FGP44" s="292"/>
      <c r="FGQ44" s="292"/>
      <c r="FGR44" s="292"/>
      <c r="FGS44" s="291"/>
      <c r="FGT44" s="292"/>
      <c r="FGU44" s="292"/>
      <c r="FGV44" s="292"/>
      <c r="FGW44" s="291"/>
      <c r="FGX44" s="292"/>
      <c r="FGY44" s="292"/>
      <c r="FGZ44" s="292"/>
      <c r="FHA44" s="291"/>
      <c r="FHB44" s="292"/>
      <c r="FHC44" s="292"/>
      <c r="FHD44" s="292"/>
      <c r="FHE44" s="291"/>
      <c r="FHF44" s="292"/>
      <c r="FHG44" s="292"/>
      <c r="FHH44" s="292"/>
      <c r="FHI44" s="291"/>
      <c r="FHJ44" s="292"/>
      <c r="FHK44" s="292"/>
      <c r="FHL44" s="292"/>
      <c r="FHM44" s="291"/>
      <c r="FHN44" s="292"/>
      <c r="FHO44" s="292"/>
      <c r="FHP44" s="292"/>
      <c r="FHQ44" s="291"/>
      <c r="FHR44" s="292"/>
      <c r="FHS44" s="292"/>
      <c r="FHT44" s="292"/>
      <c r="FHU44" s="291"/>
      <c r="FHV44" s="292"/>
      <c r="FHW44" s="292"/>
      <c r="FHX44" s="292"/>
      <c r="FHY44" s="291"/>
      <c r="FHZ44" s="292"/>
      <c r="FIA44" s="292"/>
      <c r="FIB44" s="292"/>
      <c r="FIC44" s="291"/>
      <c r="FID44" s="292"/>
      <c r="FIE44" s="292"/>
      <c r="FIF44" s="292"/>
      <c r="FIG44" s="291"/>
      <c r="FIH44" s="292"/>
      <c r="FII44" s="292"/>
      <c r="FIJ44" s="292"/>
      <c r="FIK44" s="291"/>
      <c r="FIL44" s="292"/>
      <c r="FIM44" s="292"/>
      <c r="FIN44" s="292"/>
      <c r="FIO44" s="291"/>
      <c r="FIP44" s="292"/>
      <c r="FIQ44" s="292"/>
      <c r="FIR44" s="292"/>
      <c r="FIS44" s="291"/>
      <c r="FIT44" s="292"/>
      <c r="FIU44" s="292"/>
      <c r="FIV44" s="292"/>
      <c r="FIW44" s="291"/>
      <c r="FIX44" s="292"/>
      <c r="FIY44" s="292"/>
      <c r="FIZ44" s="292"/>
      <c r="FJA44" s="291"/>
      <c r="FJB44" s="292"/>
      <c r="FJC44" s="292"/>
      <c r="FJD44" s="292"/>
      <c r="FJE44" s="291"/>
      <c r="FJF44" s="292"/>
      <c r="FJG44" s="292"/>
      <c r="FJH44" s="292"/>
      <c r="FJI44" s="291"/>
      <c r="FJJ44" s="292"/>
      <c r="FJK44" s="292"/>
      <c r="FJL44" s="292"/>
      <c r="FJM44" s="291"/>
      <c r="FJN44" s="292"/>
      <c r="FJO44" s="292"/>
      <c r="FJP44" s="292"/>
      <c r="FJQ44" s="291"/>
      <c r="FJR44" s="292"/>
      <c r="FJS44" s="292"/>
      <c r="FJT44" s="292"/>
      <c r="FJU44" s="291"/>
      <c r="FJV44" s="292"/>
      <c r="FJW44" s="292"/>
      <c r="FJX44" s="292"/>
      <c r="FJY44" s="291"/>
      <c r="FJZ44" s="292"/>
      <c r="FKA44" s="292"/>
      <c r="FKB44" s="292"/>
      <c r="FKC44" s="291"/>
      <c r="FKD44" s="292"/>
      <c r="FKE44" s="292"/>
      <c r="FKF44" s="292"/>
      <c r="FKG44" s="291"/>
      <c r="FKH44" s="292"/>
      <c r="FKI44" s="292"/>
      <c r="FKJ44" s="292"/>
      <c r="FKK44" s="291"/>
      <c r="FKL44" s="292"/>
      <c r="FKM44" s="292"/>
      <c r="FKN44" s="292"/>
      <c r="FKO44" s="291"/>
      <c r="FKP44" s="292"/>
      <c r="FKQ44" s="292"/>
      <c r="FKR44" s="292"/>
      <c r="FKS44" s="291"/>
      <c r="FKT44" s="292"/>
      <c r="FKU44" s="292"/>
      <c r="FKV44" s="292"/>
      <c r="FKW44" s="291"/>
      <c r="FKX44" s="292"/>
      <c r="FKY44" s="292"/>
      <c r="FKZ44" s="292"/>
      <c r="FLA44" s="291"/>
      <c r="FLB44" s="292"/>
      <c r="FLC44" s="292"/>
      <c r="FLD44" s="292"/>
      <c r="FLE44" s="291"/>
      <c r="FLF44" s="292"/>
      <c r="FLG44" s="292"/>
      <c r="FLH44" s="292"/>
      <c r="FLI44" s="291"/>
      <c r="FLJ44" s="292"/>
      <c r="FLK44" s="292"/>
      <c r="FLL44" s="292"/>
      <c r="FLM44" s="291"/>
      <c r="FLN44" s="292"/>
      <c r="FLO44" s="292"/>
      <c r="FLP44" s="292"/>
      <c r="FLQ44" s="291"/>
      <c r="FLR44" s="292"/>
      <c r="FLS44" s="292"/>
      <c r="FLT44" s="292"/>
      <c r="FLU44" s="291"/>
      <c r="FLV44" s="292"/>
      <c r="FLW44" s="292"/>
      <c r="FLX44" s="292"/>
      <c r="FLY44" s="291"/>
      <c r="FLZ44" s="292"/>
      <c r="FMA44" s="292"/>
      <c r="FMB44" s="292"/>
      <c r="FMC44" s="291"/>
      <c r="FMD44" s="292"/>
      <c r="FME44" s="292"/>
      <c r="FMF44" s="292"/>
      <c r="FMG44" s="291"/>
      <c r="FMH44" s="292"/>
      <c r="FMI44" s="292"/>
      <c r="FMJ44" s="292"/>
      <c r="FMK44" s="291"/>
      <c r="FML44" s="292"/>
      <c r="FMM44" s="292"/>
      <c r="FMN44" s="292"/>
      <c r="FMO44" s="291"/>
      <c r="FMP44" s="292"/>
      <c r="FMQ44" s="292"/>
      <c r="FMR44" s="292"/>
      <c r="FMS44" s="291"/>
      <c r="FMT44" s="292"/>
      <c r="FMU44" s="292"/>
      <c r="FMV44" s="292"/>
      <c r="FMW44" s="291"/>
      <c r="FMX44" s="292"/>
      <c r="FMY44" s="292"/>
      <c r="FMZ44" s="292"/>
      <c r="FNA44" s="291"/>
      <c r="FNB44" s="292"/>
      <c r="FNC44" s="292"/>
      <c r="FND44" s="292"/>
      <c r="FNE44" s="291"/>
      <c r="FNF44" s="292"/>
      <c r="FNG44" s="292"/>
      <c r="FNH44" s="292"/>
      <c r="FNI44" s="291"/>
      <c r="FNJ44" s="292"/>
      <c r="FNK44" s="292"/>
      <c r="FNL44" s="292"/>
      <c r="FNM44" s="291"/>
      <c r="FNN44" s="292"/>
      <c r="FNO44" s="292"/>
      <c r="FNP44" s="292"/>
      <c r="FNQ44" s="291"/>
      <c r="FNR44" s="292"/>
      <c r="FNS44" s="292"/>
      <c r="FNT44" s="292"/>
      <c r="FNU44" s="291"/>
      <c r="FNV44" s="292"/>
      <c r="FNW44" s="292"/>
      <c r="FNX44" s="292"/>
      <c r="FNY44" s="291"/>
      <c r="FNZ44" s="292"/>
      <c r="FOA44" s="292"/>
      <c r="FOB44" s="292"/>
      <c r="FOC44" s="291"/>
      <c r="FOD44" s="292"/>
      <c r="FOE44" s="292"/>
      <c r="FOF44" s="292"/>
      <c r="FOG44" s="291"/>
      <c r="FOH44" s="292"/>
      <c r="FOI44" s="292"/>
      <c r="FOJ44" s="292"/>
      <c r="FOK44" s="291"/>
      <c r="FOL44" s="292"/>
      <c r="FOM44" s="292"/>
      <c r="FON44" s="292"/>
      <c r="FOO44" s="291"/>
      <c r="FOP44" s="292"/>
      <c r="FOQ44" s="292"/>
      <c r="FOR44" s="292"/>
      <c r="FOS44" s="291"/>
      <c r="FOT44" s="292"/>
      <c r="FOU44" s="292"/>
      <c r="FOV44" s="292"/>
      <c r="FOW44" s="291"/>
      <c r="FOX44" s="292"/>
      <c r="FOY44" s="292"/>
      <c r="FOZ44" s="292"/>
      <c r="FPA44" s="291"/>
      <c r="FPB44" s="292"/>
      <c r="FPC44" s="292"/>
      <c r="FPD44" s="292"/>
      <c r="FPE44" s="291"/>
      <c r="FPF44" s="292"/>
      <c r="FPG44" s="292"/>
      <c r="FPH44" s="292"/>
      <c r="FPI44" s="291"/>
      <c r="FPJ44" s="292"/>
      <c r="FPK44" s="292"/>
      <c r="FPL44" s="292"/>
      <c r="FPM44" s="291"/>
      <c r="FPN44" s="292"/>
      <c r="FPO44" s="292"/>
      <c r="FPP44" s="292"/>
      <c r="FPQ44" s="291"/>
      <c r="FPR44" s="292"/>
      <c r="FPS44" s="292"/>
      <c r="FPT44" s="292"/>
      <c r="FPU44" s="291"/>
      <c r="FPV44" s="292"/>
      <c r="FPW44" s="292"/>
      <c r="FPX44" s="292"/>
      <c r="FPY44" s="291"/>
      <c r="FPZ44" s="292"/>
      <c r="FQA44" s="292"/>
      <c r="FQB44" s="292"/>
      <c r="FQC44" s="291"/>
      <c r="FQD44" s="292"/>
      <c r="FQE44" s="292"/>
      <c r="FQF44" s="292"/>
      <c r="FQG44" s="291"/>
      <c r="FQH44" s="292"/>
      <c r="FQI44" s="292"/>
      <c r="FQJ44" s="292"/>
      <c r="FQK44" s="291"/>
      <c r="FQL44" s="292"/>
      <c r="FQM44" s="292"/>
      <c r="FQN44" s="292"/>
      <c r="FQO44" s="291"/>
      <c r="FQP44" s="292"/>
      <c r="FQQ44" s="292"/>
      <c r="FQR44" s="292"/>
      <c r="FQS44" s="291"/>
      <c r="FQT44" s="292"/>
      <c r="FQU44" s="292"/>
      <c r="FQV44" s="292"/>
      <c r="FQW44" s="291"/>
      <c r="FQX44" s="292"/>
      <c r="FQY44" s="292"/>
      <c r="FQZ44" s="292"/>
      <c r="FRA44" s="291"/>
      <c r="FRB44" s="292"/>
      <c r="FRC44" s="292"/>
      <c r="FRD44" s="292"/>
      <c r="FRE44" s="291"/>
      <c r="FRF44" s="292"/>
      <c r="FRG44" s="292"/>
      <c r="FRH44" s="292"/>
      <c r="FRI44" s="291"/>
      <c r="FRJ44" s="292"/>
      <c r="FRK44" s="292"/>
      <c r="FRL44" s="292"/>
      <c r="FRM44" s="291"/>
      <c r="FRN44" s="292"/>
      <c r="FRO44" s="292"/>
      <c r="FRP44" s="292"/>
      <c r="FRQ44" s="291"/>
      <c r="FRR44" s="292"/>
      <c r="FRS44" s="292"/>
      <c r="FRT44" s="292"/>
      <c r="FRU44" s="291"/>
      <c r="FRV44" s="292"/>
      <c r="FRW44" s="292"/>
      <c r="FRX44" s="292"/>
      <c r="FRY44" s="291"/>
      <c r="FRZ44" s="292"/>
      <c r="FSA44" s="292"/>
      <c r="FSB44" s="292"/>
      <c r="FSC44" s="291"/>
      <c r="FSD44" s="292"/>
      <c r="FSE44" s="292"/>
      <c r="FSF44" s="292"/>
      <c r="FSG44" s="291"/>
      <c r="FSH44" s="292"/>
      <c r="FSI44" s="292"/>
      <c r="FSJ44" s="292"/>
      <c r="FSK44" s="291"/>
      <c r="FSL44" s="292"/>
      <c r="FSM44" s="292"/>
      <c r="FSN44" s="292"/>
      <c r="FSO44" s="291"/>
      <c r="FSP44" s="292"/>
      <c r="FSQ44" s="292"/>
      <c r="FSR44" s="292"/>
      <c r="FSS44" s="291"/>
      <c r="FST44" s="292"/>
      <c r="FSU44" s="292"/>
      <c r="FSV44" s="292"/>
      <c r="FSW44" s="291"/>
      <c r="FSX44" s="292"/>
      <c r="FSY44" s="292"/>
      <c r="FSZ44" s="292"/>
      <c r="FTA44" s="291"/>
      <c r="FTB44" s="292"/>
      <c r="FTC44" s="292"/>
      <c r="FTD44" s="292"/>
      <c r="FTE44" s="291"/>
      <c r="FTF44" s="292"/>
      <c r="FTG44" s="292"/>
      <c r="FTH44" s="292"/>
      <c r="FTI44" s="291"/>
      <c r="FTJ44" s="292"/>
      <c r="FTK44" s="292"/>
      <c r="FTL44" s="292"/>
      <c r="FTM44" s="291"/>
      <c r="FTN44" s="292"/>
      <c r="FTO44" s="292"/>
      <c r="FTP44" s="292"/>
      <c r="FTQ44" s="291"/>
      <c r="FTR44" s="292"/>
      <c r="FTS44" s="292"/>
      <c r="FTT44" s="292"/>
      <c r="FTU44" s="291"/>
      <c r="FTV44" s="292"/>
      <c r="FTW44" s="292"/>
      <c r="FTX44" s="292"/>
      <c r="FTY44" s="291"/>
      <c r="FTZ44" s="292"/>
      <c r="FUA44" s="292"/>
      <c r="FUB44" s="292"/>
      <c r="FUC44" s="291"/>
      <c r="FUD44" s="292"/>
      <c r="FUE44" s="292"/>
      <c r="FUF44" s="292"/>
      <c r="FUG44" s="291"/>
      <c r="FUH44" s="292"/>
      <c r="FUI44" s="292"/>
      <c r="FUJ44" s="292"/>
      <c r="FUK44" s="291"/>
      <c r="FUL44" s="292"/>
      <c r="FUM44" s="292"/>
      <c r="FUN44" s="292"/>
      <c r="FUO44" s="291"/>
      <c r="FUP44" s="292"/>
      <c r="FUQ44" s="292"/>
      <c r="FUR44" s="292"/>
      <c r="FUS44" s="291"/>
      <c r="FUT44" s="292"/>
      <c r="FUU44" s="292"/>
      <c r="FUV44" s="292"/>
      <c r="FUW44" s="291"/>
      <c r="FUX44" s="292"/>
      <c r="FUY44" s="292"/>
      <c r="FUZ44" s="292"/>
      <c r="FVA44" s="291"/>
      <c r="FVB44" s="292"/>
      <c r="FVC44" s="292"/>
      <c r="FVD44" s="292"/>
      <c r="FVE44" s="291"/>
      <c r="FVF44" s="292"/>
      <c r="FVG44" s="292"/>
      <c r="FVH44" s="292"/>
      <c r="FVI44" s="291"/>
      <c r="FVJ44" s="292"/>
      <c r="FVK44" s="292"/>
      <c r="FVL44" s="292"/>
      <c r="FVM44" s="291"/>
      <c r="FVN44" s="292"/>
      <c r="FVO44" s="292"/>
      <c r="FVP44" s="292"/>
      <c r="FVQ44" s="291"/>
      <c r="FVR44" s="292"/>
      <c r="FVS44" s="292"/>
      <c r="FVT44" s="292"/>
      <c r="FVU44" s="291"/>
      <c r="FVV44" s="292"/>
      <c r="FVW44" s="292"/>
      <c r="FVX44" s="292"/>
      <c r="FVY44" s="291"/>
      <c r="FVZ44" s="292"/>
      <c r="FWA44" s="292"/>
      <c r="FWB44" s="292"/>
      <c r="FWC44" s="291"/>
      <c r="FWD44" s="292"/>
      <c r="FWE44" s="292"/>
      <c r="FWF44" s="292"/>
      <c r="FWG44" s="291"/>
      <c r="FWH44" s="292"/>
      <c r="FWI44" s="292"/>
      <c r="FWJ44" s="292"/>
      <c r="FWK44" s="291"/>
      <c r="FWL44" s="292"/>
      <c r="FWM44" s="292"/>
      <c r="FWN44" s="292"/>
      <c r="FWO44" s="291"/>
      <c r="FWP44" s="292"/>
      <c r="FWQ44" s="292"/>
      <c r="FWR44" s="292"/>
      <c r="FWS44" s="291"/>
      <c r="FWT44" s="292"/>
      <c r="FWU44" s="292"/>
      <c r="FWV44" s="292"/>
      <c r="FWW44" s="291"/>
      <c r="FWX44" s="292"/>
      <c r="FWY44" s="292"/>
      <c r="FWZ44" s="292"/>
      <c r="FXA44" s="291"/>
      <c r="FXB44" s="292"/>
      <c r="FXC44" s="292"/>
      <c r="FXD44" s="292"/>
      <c r="FXE44" s="291"/>
      <c r="FXF44" s="292"/>
      <c r="FXG44" s="292"/>
      <c r="FXH44" s="292"/>
      <c r="FXI44" s="291"/>
      <c r="FXJ44" s="292"/>
      <c r="FXK44" s="292"/>
      <c r="FXL44" s="292"/>
      <c r="FXM44" s="291"/>
      <c r="FXN44" s="292"/>
      <c r="FXO44" s="292"/>
      <c r="FXP44" s="292"/>
      <c r="FXQ44" s="291"/>
      <c r="FXR44" s="292"/>
      <c r="FXS44" s="292"/>
      <c r="FXT44" s="292"/>
      <c r="FXU44" s="291"/>
      <c r="FXV44" s="292"/>
      <c r="FXW44" s="292"/>
      <c r="FXX44" s="292"/>
      <c r="FXY44" s="291"/>
      <c r="FXZ44" s="292"/>
      <c r="FYA44" s="292"/>
      <c r="FYB44" s="292"/>
      <c r="FYC44" s="291"/>
      <c r="FYD44" s="292"/>
      <c r="FYE44" s="292"/>
      <c r="FYF44" s="292"/>
      <c r="FYG44" s="291"/>
      <c r="FYH44" s="292"/>
      <c r="FYI44" s="292"/>
      <c r="FYJ44" s="292"/>
      <c r="FYK44" s="291"/>
      <c r="FYL44" s="292"/>
      <c r="FYM44" s="292"/>
      <c r="FYN44" s="292"/>
      <c r="FYO44" s="291"/>
      <c r="FYP44" s="292"/>
      <c r="FYQ44" s="292"/>
      <c r="FYR44" s="292"/>
      <c r="FYS44" s="291"/>
      <c r="FYT44" s="292"/>
      <c r="FYU44" s="292"/>
      <c r="FYV44" s="292"/>
      <c r="FYW44" s="291"/>
      <c r="FYX44" s="292"/>
      <c r="FYY44" s="292"/>
      <c r="FYZ44" s="292"/>
      <c r="FZA44" s="291"/>
      <c r="FZB44" s="292"/>
      <c r="FZC44" s="292"/>
      <c r="FZD44" s="292"/>
      <c r="FZE44" s="291"/>
      <c r="FZF44" s="292"/>
      <c r="FZG44" s="292"/>
      <c r="FZH44" s="292"/>
      <c r="FZI44" s="291"/>
      <c r="FZJ44" s="292"/>
      <c r="FZK44" s="292"/>
      <c r="FZL44" s="292"/>
      <c r="FZM44" s="291"/>
      <c r="FZN44" s="292"/>
      <c r="FZO44" s="292"/>
      <c r="FZP44" s="292"/>
      <c r="FZQ44" s="291"/>
      <c r="FZR44" s="292"/>
      <c r="FZS44" s="292"/>
      <c r="FZT44" s="292"/>
      <c r="FZU44" s="291"/>
      <c r="FZV44" s="292"/>
      <c r="FZW44" s="292"/>
      <c r="FZX44" s="292"/>
      <c r="FZY44" s="291"/>
      <c r="FZZ44" s="292"/>
      <c r="GAA44" s="292"/>
      <c r="GAB44" s="292"/>
      <c r="GAC44" s="291"/>
      <c r="GAD44" s="292"/>
      <c r="GAE44" s="292"/>
      <c r="GAF44" s="292"/>
      <c r="GAG44" s="291"/>
      <c r="GAH44" s="292"/>
      <c r="GAI44" s="292"/>
      <c r="GAJ44" s="292"/>
      <c r="GAK44" s="291"/>
      <c r="GAL44" s="292"/>
      <c r="GAM44" s="292"/>
      <c r="GAN44" s="292"/>
      <c r="GAO44" s="291"/>
      <c r="GAP44" s="292"/>
      <c r="GAQ44" s="292"/>
      <c r="GAR44" s="292"/>
      <c r="GAS44" s="291"/>
      <c r="GAT44" s="292"/>
      <c r="GAU44" s="292"/>
      <c r="GAV44" s="292"/>
      <c r="GAW44" s="291"/>
      <c r="GAX44" s="292"/>
      <c r="GAY44" s="292"/>
      <c r="GAZ44" s="292"/>
      <c r="GBA44" s="291"/>
      <c r="GBB44" s="292"/>
      <c r="GBC44" s="292"/>
      <c r="GBD44" s="292"/>
      <c r="GBE44" s="291"/>
      <c r="GBF44" s="292"/>
      <c r="GBG44" s="292"/>
      <c r="GBH44" s="292"/>
      <c r="GBI44" s="291"/>
      <c r="GBJ44" s="292"/>
      <c r="GBK44" s="292"/>
      <c r="GBL44" s="292"/>
      <c r="GBM44" s="291"/>
      <c r="GBN44" s="292"/>
      <c r="GBO44" s="292"/>
      <c r="GBP44" s="292"/>
      <c r="GBQ44" s="291"/>
      <c r="GBR44" s="292"/>
      <c r="GBS44" s="292"/>
      <c r="GBT44" s="292"/>
      <c r="GBU44" s="291"/>
      <c r="GBV44" s="292"/>
      <c r="GBW44" s="292"/>
      <c r="GBX44" s="292"/>
      <c r="GBY44" s="291"/>
      <c r="GBZ44" s="292"/>
      <c r="GCA44" s="292"/>
      <c r="GCB44" s="292"/>
      <c r="GCC44" s="291"/>
      <c r="GCD44" s="292"/>
      <c r="GCE44" s="292"/>
      <c r="GCF44" s="292"/>
      <c r="GCG44" s="291"/>
      <c r="GCH44" s="292"/>
      <c r="GCI44" s="292"/>
      <c r="GCJ44" s="292"/>
      <c r="GCK44" s="291"/>
      <c r="GCL44" s="292"/>
      <c r="GCM44" s="292"/>
      <c r="GCN44" s="292"/>
      <c r="GCO44" s="291"/>
      <c r="GCP44" s="292"/>
      <c r="GCQ44" s="292"/>
      <c r="GCR44" s="292"/>
      <c r="GCS44" s="291"/>
      <c r="GCT44" s="292"/>
      <c r="GCU44" s="292"/>
      <c r="GCV44" s="292"/>
      <c r="GCW44" s="291"/>
      <c r="GCX44" s="292"/>
      <c r="GCY44" s="292"/>
      <c r="GCZ44" s="292"/>
      <c r="GDA44" s="291"/>
      <c r="GDB44" s="292"/>
      <c r="GDC44" s="292"/>
      <c r="GDD44" s="292"/>
      <c r="GDE44" s="291"/>
      <c r="GDF44" s="292"/>
      <c r="GDG44" s="292"/>
      <c r="GDH44" s="292"/>
      <c r="GDI44" s="291"/>
      <c r="GDJ44" s="292"/>
      <c r="GDK44" s="292"/>
      <c r="GDL44" s="292"/>
      <c r="GDM44" s="291"/>
      <c r="GDN44" s="292"/>
      <c r="GDO44" s="292"/>
      <c r="GDP44" s="292"/>
      <c r="GDQ44" s="291"/>
      <c r="GDR44" s="292"/>
      <c r="GDS44" s="292"/>
      <c r="GDT44" s="292"/>
      <c r="GDU44" s="291"/>
      <c r="GDV44" s="292"/>
      <c r="GDW44" s="292"/>
      <c r="GDX44" s="292"/>
      <c r="GDY44" s="291"/>
      <c r="GDZ44" s="292"/>
      <c r="GEA44" s="292"/>
      <c r="GEB44" s="292"/>
      <c r="GEC44" s="291"/>
      <c r="GED44" s="292"/>
      <c r="GEE44" s="292"/>
      <c r="GEF44" s="292"/>
      <c r="GEG44" s="291"/>
      <c r="GEH44" s="292"/>
      <c r="GEI44" s="292"/>
      <c r="GEJ44" s="292"/>
      <c r="GEK44" s="291"/>
      <c r="GEL44" s="292"/>
      <c r="GEM44" s="292"/>
      <c r="GEN44" s="292"/>
      <c r="GEO44" s="291"/>
      <c r="GEP44" s="292"/>
      <c r="GEQ44" s="292"/>
      <c r="GER44" s="292"/>
      <c r="GES44" s="291"/>
      <c r="GET44" s="292"/>
      <c r="GEU44" s="292"/>
      <c r="GEV44" s="292"/>
      <c r="GEW44" s="291"/>
      <c r="GEX44" s="292"/>
      <c r="GEY44" s="292"/>
      <c r="GEZ44" s="292"/>
      <c r="GFA44" s="291"/>
      <c r="GFB44" s="292"/>
      <c r="GFC44" s="292"/>
      <c r="GFD44" s="292"/>
      <c r="GFE44" s="291"/>
      <c r="GFF44" s="292"/>
      <c r="GFG44" s="292"/>
      <c r="GFH44" s="292"/>
      <c r="GFI44" s="291"/>
      <c r="GFJ44" s="292"/>
      <c r="GFK44" s="292"/>
      <c r="GFL44" s="292"/>
      <c r="GFM44" s="291"/>
      <c r="GFN44" s="292"/>
      <c r="GFO44" s="292"/>
      <c r="GFP44" s="292"/>
      <c r="GFQ44" s="291"/>
      <c r="GFR44" s="292"/>
      <c r="GFS44" s="292"/>
      <c r="GFT44" s="292"/>
      <c r="GFU44" s="291"/>
      <c r="GFV44" s="292"/>
      <c r="GFW44" s="292"/>
      <c r="GFX44" s="292"/>
      <c r="GFY44" s="291"/>
      <c r="GFZ44" s="292"/>
      <c r="GGA44" s="292"/>
      <c r="GGB44" s="292"/>
      <c r="GGC44" s="291"/>
      <c r="GGD44" s="292"/>
      <c r="GGE44" s="292"/>
      <c r="GGF44" s="292"/>
      <c r="GGG44" s="291"/>
      <c r="GGH44" s="292"/>
      <c r="GGI44" s="292"/>
      <c r="GGJ44" s="292"/>
      <c r="GGK44" s="291"/>
      <c r="GGL44" s="292"/>
      <c r="GGM44" s="292"/>
      <c r="GGN44" s="292"/>
      <c r="GGO44" s="291"/>
      <c r="GGP44" s="292"/>
      <c r="GGQ44" s="292"/>
      <c r="GGR44" s="292"/>
      <c r="GGS44" s="291"/>
      <c r="GGT44" s="292"/>
      <c r="GGU44" s="292"/>
      <c r="GGV44" s="292"/>
      <c r="GGW44" s="291"/>
      <c r="GGX44" s="292"/>
      <c r="GGY44" s="292"/>
      <c r="GGZ44" s="292"/>
      <c r="GHA44" s="291"/>
      <c r="GHB44" s="292"/>
      <c r="GHC44" s="292"/>
      <c r="GHD44" s="292"/>
      <c r="GHE44" s="291"/>
      <c r="GHF44" s="292"/>
      <c r="GHG44" s="292"/>
      <c r="GHH44" s="292"/>
      <c r="GHI44" s="291"/>
      <c r="GHJ44" s="292"/>
      <c r="GHK44" s="292"/>
      <c r="GHL44" s="292"/>
      <c r="GHM44" s="291"/>
      <c r="GHN44" s="292"/>
      <c r="GHO44" s="292"/>
      <c r="GHP44" s="292"/>
      <c r="GHQ44" s="291"/>
      <c r="GHR44" s="292"/>
      <c r="GHS44" s="292"/>
      <c r="GHT44" s="292"/>
      <c r="GHU44" s="291"/>
      <c r="GHV44" s="292"/>
      <c r="GHW44" s="292"/>
      <c r="GHX44" s="292"/>
      <c r="GHY44" s="291"/>
      <c r="GHZ44" s="292"/>
      <c r="GIA44" s="292"/>
      <c r="GIB44" s="292"/>
      <c r="GIC44" s="291"/>
      <c r="GID44" s="292"/>
      <c r="GIE44" s="292"/>
      <c r="GIF44" s="292"/>
      <c r="GIG44" s="291"/>
      <c r="GIH44" s="292"/>
      <c r="GII44" s="292"/>
      <c r="GIJ44" s="292"/>
      <c r="GIK44" s="291"/>
      <c r="GIL44" s="292"/>
      <c r="GIM44" s="292"/>
      <c r="GIN44" s="292"/>
      <c r="GIO44" s="291"/>
      <c r="GIP44" s="292"/>
      <c r="GIQ44" s="292"/>
      <c r="GIR44" s="292"/>
      <c r="GIS44" s="291"/>
      <c r="GIT44" s="292"/>
      <c r="GIU44" s="292"/>
      <c r="GIV44" s="292"/>
      <c r="GIW44" s="291"/>
      <c r="GIX44" s="292"/>
      <c r="GIY44" s="292"/>
      <c r="GIZ44" s="292"/>
      <c r="GJA44" s="291"/>
      <c r="GJB44" s="292"/>
      <c r="GJC44" s="292"/>
      <c r="GJD44" s="292"/>
      <c r="GJE44" s="291"/>
      <c r="GJF44" s="292"/>
      <c r="GJG44" s="292"/>
      <c r="GJH44" s="292"/>
      <c r="GJI44" s="291"/>
      <c r="GJJ44" s="292"/>
      <c r="GJK44" s="292"/>
      <c r="GJL44" s="292"/>
      <c r="GJM44" s="291"/>
      <c r="GJN44" s="292"/>
      <c r="GJO44" s="292"/>
      <c r="GJP44" s="292"/>
      <c r="GJQ44" s="291"/>
      <c r="GJR44" s="292"/>
      <c r="GJS44" s="292"/>
      <c r="GJT44" s="292"/>
      <c r="GJU44" s="291"/>
      <c r="GJV44" s="292"/>
      <c r="GJW44" s="292"/>
      <c r="GJX44" s="292"/>
      <c r="GJY44" s="291"/>
      <c r="GJZ44" s="292"/>
      <c r="GKA44" s="292"/>
      <c r="GKB44" s="292"/>
      <c r="GKC44" s="291"/>
      <c r="GKD44" s="292"/>
      <c r="GKE44" s="292"/>
      <c r="GKF44" s="292"/>
      <c r="GKG44" s="291"/>
      <c r="GKH44" s="292"/>
      <c r="GKI44" s="292"/>
      <c r="GKJ44" s="292"/>
      <c r="GKK44" s="291"/>
      <c r="GKL44" s="292"/>
      <c r="GKM44" s="292"/>
      <c r="GKN44" s="292"/>
      <c r="GKO44" s="291"/>
      <c r="GKP44" s="292"/>
      <c r="GKQ44" s="292"/>
      <c r="GKR44" s="292"/>
      <c r="GKS44" s="291"/>
      <c r="GKT44" s="292"/>
      <c r="GKU44" s="292"/>
      <c r="GKV44" s="292"/>
      <c r="GKW44" s="291"/>
      <c r="GKX44" s="292"/>
      <c r="GKY44" s="292"/>
      <c r="GKZ44" s="292"/>
      <c r="GLA44" s="291"/>
      <c r="GLB44" s="292"/>
      <c r="GLC44" s="292"/>
      <c r="GLD44" s="292"/>
      <c r="GLE44" s="291"/>
      <c r="GLF44" s="292"/>
      <c r="GLG44" s="292"/>
      <c r="GLH44" s="292"/>
      <c r="GLI44" s="291"/>
      <c r="GLJ44" s="292"/>
      <c r="GLK44" s="292"/>
      <c r="GLL44" s="292"/>
      <c r="GLM44" s="291"/>
      <c r="GLN44" s="292"/>
      <c r="GLO44" s="292"/>
      <c r="GLP44" s="292"/>
      <c r="GLQ44" s="291"/>
      <c r="GLR44" s="292"/>
      <c r="GLS44" s="292"/>
      <c r="GLT44" s="292"/>
      <c r="GLU44" s="291"/>
      <c r="GLV44" s="292"/>
      <c r="GLW44" s="292"/>
      <c r="GLX44" s="292"/>
      <c r="GLY44" s="291"/>
      <c r="GLZ44" s="292"/>
      <c r="GMA44" s="292"/>
      <c r="GMB44" s="292"/>
      <c r="GMC44" s="291"/>
      <c r="GMD44" s="292"/>
      <c r="GME44" s="292"/>
      <c r="GMF44" s="292"/>
      <c r="GMG44" s="291"/>
      <c r="GMH44" s="292"/>
      <c r="GMI44" s="292"/>
      <c r="GMJ44" s="292"/>
      <c r="GMK44" s="291"/>
      <c r="GML44" s="292"/>
      <c r="GMM44" s="292"/>
      <c r="GMN44" s="292"/>
      <c r="GMO44" s="291"/>
      <c r="GMP44" s="292"/>
      <c r="GMQ44" s="292"/>
      <c r="GMR44" s="292"/>
      <c r="GMS44" s="291"/>
      <c r="GMT44" s="292"/>
      <c r="GMU44" s="292"/>
      <c r="GMV44" s="292"/>
      <c r="GMW44" s="291"/>
      <c r="GMX44" s="292"/>
      <c r="GMY44" s="292"/>
      <c r="GMZ44" s="292"/>
      <c r="GNA44" s="291"/>
      <c r="GNB44" s="292"/>
      <c r="GNC44" s="292"/>
      <c r="GND44" s="292"/>
      <c r="GNE44" s="291"/>
      <c r="GNF44" s="292"/>
      <c r="GNG44" s="292"/>
      <c r="GNH44" s="292"/>
      <c r="GNI44" s="291"/>
      <c r="GNJ44" s="292"/>
      <c r="GNK44" s="292"/>
      <c r="GNL44" s="292"/>
      <c r="GNM44" s="291"/>
      <c r="GNN44" s="292"/>
      <c r="GNO44" s="292"/>
      <c r="GNP44" s="292"/>
      <c r="GNQ44" s="291"/>
      <c r="GNR44" s="292"/>
      <c r="GNS44" s="292"/>
      <c r="GNT44" s="292"/>
      <c r="GNU44" s="291"/>
      <c r="GNV44" s="292"/>
      <c r="GNW44" s="292"/>
      <c r="GNX44" s="292"/>
      <c r="GNY44" s="291"/>
      <c r="GNZ44" s="292"/>
      <c r="GOA44" s="292"/>
      <c r="GOB44" s="292"/>
      <c r="GOC44" s="291"/>
      <c r="GOD44" s="292"/>
      <c r="GOE44" s="292"/>
      <c r="GOF44" s="292"/>
      <c r="GOG44" s="291"/>
      <c r="GOH44" s="292"/>
      <c r="GOI44" s="292"/>
      <c r="GOJ44" s="292"/>
      <c r="GOK44" s="291"/>
      <c r="GOL44" s="292"/>
      <c r="GOM44" s="292"/>
      <c r="GON44" s="292"/>
      <c r="GOO44" s="291"/>
      <c r="GOP44" s="292"/>
      <c r="GOQ44" s="292"/>
      <c r="GOR44" s="292"/>
      <c r="GOS44" s="291"/>
      <c r="GOT44" s="292"/>
      <c r="GOU44" s="292"/>
      <c r="GOV44" s="292"/>
      <c r="GOW44" s="291"/>
      <c r="GOX44" s="292"/>
      <c r="GOY44" s="292"/>
      <c r="GOZ44" s="292"/>
      <c r="GPA44" s="291"/>
      <c r="GPB44" s="292"/>
      <c r="GPC44" s="292"/>
      <c r="GPD44" s="292"/>
      <c r="GPE44" s="291"/>
      <c r="GPF44" s="292"/>
      <c r="GPG44" s="292"/>
      <c r="GPH44" s="292"/>
      <c r="GPI44" s="291"/>
      <c r="GPJ44" s="292"/>
      <c r="GPK44" s="292"/>
      <c r="GPL44" s="292"/>
      <c r="GPM44" s="291"/>
      <c r="GPN44" s="292"/>
      <c r="GPO44" s="292"/>
      <c r="GPP44" s="292"/>
      <c r="GPQ44" s="291"/>
      <c r="GPR44" s="292"/>
      <c r="GPS44" s="292"/>
      <c r="GPT44" s="292"/>
      <c r="GPU44" s="291"/>
      <c r="GPV44" s="292"/>
      <c r="GPW44" s="292"/>
      <c r="GPX44" s="292"/>
      <c r="GPY44" s="291"/>
      <c r="GPZ44" s="292"/>
      <c r="GQA44" s="292"/>
      <c r="GQB44" s="292"/>
      <c r="GQC44" s="291"/>
      <c r="GQD44" s="292"/>
      <c r="GQE44" s="292"/>
      <c r="GQF44" s="292"/>
      <c r="GQG44" s="291"/>
      <c r="GQH44" s="292"/>
      <c r="GQI44" s="292"/>
      <c r="GQJ44" s="292"/>
      <c r="GQK44" s="291"/>
      <c r="GQL44" s="292"/>
      <c r="GQM44" s="292"/>
      <c r="GQN44" s="292"/>
      <c r="GQO44" s="291"/>
      <c r="GQP44" s="292"/>
      <c r="GQQ44" s="292"/>
      <c r="GQR44" s="292"/>
      <c r="GQS44" s="291"/>
      <c r="GQT44" s="292"/>
      <c r="GQU44" s="292"/>
      <c r="GQV44" s="292"/>
      <c r="GQW44" s="291"/>
      <c r="GQX44" s="292"/>
      <c r="GQY44" s="292"/>
      <c r="GQZ44" s="292"/>
      <c r="GRA44" s="291"/>
      <c r="GRB44" s="292"/>
      <c r="GRC44" s="292"/>
      <c r="GRD44" s="292"/>
      <c r="GRE44" s="291"/>
      <c r="GRF44" s="292"/>
      <c r="GRG44" s="292"/>
      <c r="GRH44" s="292"/>
      <c r="GRI44" s="291"/>
      <c r="GRJ44" s="292"/>
      <c r="GRK44" s="292"/>
      <c r="GRL44" s="292"/>
      <c r="GRM44" s="291"/>
      <c r="GRN44" s="292"/>
      <c r="GRO44" s="292"/>
      <c r="GRP44" s="292"/>
      <c r="GRQ44" s="291"/>
      <c r="GRR44" s="292"/>
      <c r="GRS44" s="292"/>
      <c r="GRT44" s="292"/>
      <c r="GRU44" s="291"/>
      <c r="GRV44" s="292"/>
      <c r="GRW44" s="292"/>
      <c r="GRX44" s="292"/>
      <c r="GRY44" s="291"/>
      <c r="GRZ44" s="292"/>
      <c r="GSA44" s="292"/>
      <c r="GSB44" s="292"/>
      <c r="GSC44" s="291"/>
      <c r="GSD44" s="292"/>
      <c r="GSE44" s="292"/>
      <c r="GSF44" s="292"/>
      <c r="GSG44" s="291"/>
      <c r="GSH44" s="292"/>
      <c r="GSI44" s="292"/>
      <c r="GSJ44" s="292"/>
      <c r="GSK44" s="291"/>
      <c r="GSL44" s="292"/>
      <c r="GSM44" s="292"/>
      <c r="GSN44" s="292"/>
      <c r="GSO44" s="291"/>
      <c r="GSP44" s="292"/>
      <c r="GSQ44" s="292"/>
      <c r="GSR44" s="292"/>
      <c r="GSS44" s="291"/>
      <c r="GST44" s="292"/>
      <c r="GSU44" s="292"/>
      <c r="GSV44" s="292"/>
      <c r="GSW44" s="291"/>
      <c r="GSX44" s="292"/>
      <c r="GSY44" s="292"/>
      <c r="GSZ44" s="292"/>
      <c r="GTA44" s="291"/>
      <c r="GTB44" s="292"/>
      <c r="GTC44" s="292"/>
      <c r="GTD44" s="292"/>
      <c r="GTE44" s="291"/>
      <c r="GTF44" s="292"/>
      <c r="GTG44" s="292"/>
      <c r="GTH44" s="292"/>
      <c r="GTI44" s="291"/>
      <c r="GTJ44" s="292"/>
      <c r="GTK44" s="292"/>
      <c r="GTL44" s="292"/>
      <c r="GTM44" s="291"/>
      <c r="GTN44" s="292"/>
      <c r="GTO44" s="292"/>
      <c r="GTP44" s="292"/>
      <c r="GTQ44" s="291"/>
      <c r="GTR44" s="292"/>
      <c r="GTS44" s="292"/>
      <c r="GTT44" s="292"/>
      <c r="GTU44" s="291"/>
      <c r="GTV44" s="292"/>
      <c r="GTW44" s="292"/>
      <c r="GTX44" s="292"/>
      <c r="GTY44" s="291"/>
      <c r="GTZ44" s="292"/>
      <c r="GUA44" s="292"/>
      <c r="GUB44" s="292"/>
      <c r="GUC44" s="291"/>
      <c r="GUD44" s="292"/>
      <c r="GUE44" s="292"/>
      <c r="GUF44" s="292"/>
      <c r="GUG44" s="291"/>
      <c r="GUH44" s="292"/>
      <c r="GUI44" s="292"/>
      <c r="GUJ44" s="292"/>
      <c r="GUK44" s="291"/>
      <c r="GUL44" s="292"/>
      <c r="GUM44" s="292"/>
      <c r="GUN44" s="292"/>
      <c r="GUO44" s="291"/>
      <c r="GUP44" s="292"/>
      <c r="GUQ44" s="292"/>
      <c r="GUR44" s="292"/>
      <c r="GUS44" s="291"/>
      <c r="GUT44" s="292"/>
      <c r="GUU44" s="292"/>
      <c r="GUV44" s="292"/>
      <c r="GUW44" s="291"/>
      <c r="GUX44" s="292"/>
      <c r="GUY44" s="292"/>
      <c r="GUZ44" s="292"/>
      <c r="GVA44" s="291"/>
      <c r="GVB44" s="292"/>
      <c r="GVC44" s="292"/>
      <c r="GVD44" s="292"/>
      <c r="GVE44" s="291"/>
      <c r="GVF44" s="292"/>
      <c r="GVG44" s="292"/>
      <c r="GVH44" s="292"/>
      <c r="GVI44" s="291"/>
      <c r="GVJ44" s="292"/>
      <c r="GVK44" s="292"/>
      <c r="GVL44" s="292"/>
      <c r="GVM44" s="291"/>
      <c r="GVN44" s="292"/>
      <c r="GVO44" s="292"/>
      <c r="GVP44" s="292"/>
      <c r="GVQ44" s="291"/>
      <c r="GVR44" s="292"/>
      <c r="GVS44" s="292"/>
      <c r="GVT44" s="292"/>
      <c r="GVU44" s="291"/>
      <c r="GVV44" s="292"/>
      <c r="GVW44" s="292"/>
      <c r="GVX44" s="292"/>
      <c r="GVY44" s="291"/>
      <c r="GVZ44" s="292"/>
      <c r="GWA44" s="292"/>
      <c r="GWB44" s="292"/>
      <c r="GWC44" s="291"/>
      <c r="GWD44" s="292"/>
      <c r="GWE44" s="292"/>
      <c r="GWF44" s="292"/>
      <c r="GWG44" s="291"/>
      <c r="GWH44" s="292"/>
      <c r="GWI44" s="292"/>
      <c r="GWJ44" s="292"/>
      <c r="GWK44" s="291"/>
      <c r="GWL44" s="292"/>
      <c r="GWM44" s="292"/>
      <c r="GWN44" s="292"/>
      <c r="GWO44" s="291"/>
      <c r="GWP44" s="292"/>
      <c r="GWQ44" s="292"/>
      <c r="GWR44" s="292"/>
      <c r="GWS44" s="291"/>
      <c r="GWT44" s="292"/>
      <c r="GWU44" s="292"/>
      <c r="GWV44" s="292"/>
      <c r="GWW44" s="291"/>
      <c r="GWX44" s="292"/>
      <c r="GWY44" s="292"/>
      <c r="GWZ44" s="292"/>
      <c r="GXA44" s="291"/>
      <c r="GXB44" s="292"/>
      <c r="GXC44" s="292"/>
      <c r="GXD44" s="292"/>
      <c r="GXE44" s="291"/>
      <c r="GXF44" s="292"/>
      <c r="GXG44" s="292"/>
      <c r="GXH44" s="292"/>
      <c r="GXI44" s="291"/>
      <c r="GXJ44" s="292"/>
      <c r="GXK44" s="292"/>
      <c r="GXL44" s="292"/>
      <c r="GXM44" s="291"/>
      <c r="GXN44" s="292"/>
      <c r="GXO44" s="292"/>
      <c r="GXP44" s="292"/>
      <c r="GXQ44" s="291"/>
      <c r="GXR44" s="292"/>
      <c r="GXS44" s="292"/>
      <c r="GXT44" s="292"/>
      <c r="GXU44" s="291"/>
      <c r="GXV44" s="292"/>
      <c r="GXW44" s="292"/>
      <c r="GXX44" s="292"/>
      <c r="GXY44" s="291"/>
      <c r="GXZ44" s="292"/>
      <c r="GYA44" s="292"/>
      <c r="GYB44" s="292"/>
      <c r="GYC44" s="291"/>
      <c r="GYD44" s="292"/>
      <c r="GYE44" s="292"/>
      <c r="GYF44" s="292"/>
      <c r="GYG44" s="291"/>
      <c r="GYH44" s="292"/>
      <c r="GYI44" s="292"/>
      <c r="GYJ44" s="292"/>
      <c r="GYK44" s="291"/>
      <c r="GYL44" s="292"/>
      <c r="GYM44" s="292"/>
      <c r="GYN44" s="292"/>
      <c r="GYO44" s="291"/>
      <c r="GYP44" s="292"/>
      <c r="GYQ44" s="292"/>
      <c r="GYR44" s="292"/>
      <c r="GYS44" s="291"/>
      <c r="GYT44" s="292"/>
      <c r="GYU44" s="292"/>
      <c r="GYV44" s="292"/>
      <c r="GYW44" s="291"/>
      <c r="GYX44" s="292"/>
      <c r="GYY44" s="292"/>
      <c r="GYZ44" s="292"/>
      <c r="GZA44" s="291"/>
      <c r="GZB44" s="292"/>
      <c r="GZC44" s="292"/>
      <c r="GZD44" s="292"/>
      <c r="GZE44" s="291"/>
      <c r="GZF44" s="292"/>
      <c r="GZG44" s="292"/>
      <c r="GZH44" s="292"/>
      <c r="GZI44" s="291"/>
      <c r="GZJ44" s="292"/>
      <c r="GZK44" s="292"/>
      <c r="GZL44" s="292"/>
      <c r="GZM44" s="291"/>
      <c r="GZN44" s="292"/>
      <c r="GZO44" s="292"/>
      <c r="GZP44" s="292"/>
      <c r="GZQ44" s="291"/>
      <c r="GZR44" s="292"/>
      <c r="GZS44" s="292"/>
      <c r="GZT44" s="292"/>
      <c r="GZU44" s="291"/>
      <c r="GZV44" s="292"/>
      <c r="GZW44" s="292"/>
      <c r="GZX44" s="292"/>
      <c r="GZY44" s="291"/>
      <c r="GZZ44" s="292"/>
      <c r="HAA44" s="292"/>
      <c r="HAB44" s="292"/>
      <c r="HAC44" s="291"/>
      <c r="HAD44" s="292"/>
      <c r="HAE44" s="292"/>
      <c r="HAF44" s="292"/>
      <c r="HAG44" s="291"/>
      <c r="HAH44" s="292"/>
      <c r="HAI44" s="292"/>
      <c r="HAJ44" s="292"/>
      <c r="HAK44" s="291"/>
      <c r="HAL44" s="292"/>
      <c r="HAM44" s="292"/>
      <c r="HAN44" s="292"/>
      <c r="HAO44" s="291"/>
      <c r="HAP44" s="292"/>
      <c r="HAQ44" s="292"/>
      <c r="HAR44" s="292"/>
      <c r="HAS44" s="291"/>
      <c r="HAT44" s="292"/>
      <c r="HAU44" s="292"/>
      <c r="HAV44" s="292"/>
      <c r="HAW44" s="291"/>
      <c r="HAX44" s="292"/>
      <c r="HAY44" s="292"/>
      <c r="HAZ44" s="292"/>
      <c r="HBA44" s="291"/>
      <c r="HBB44" s="292"/>
      <c r="HBC44" s="292"/>
      <c r="HBD44" s="292"/>
      <c r="HBE44" s="291"/>
      <c r="HBF44" s="292"/>
      <c r="HBG44" s="292"/>
      <c r="HBH44" s="292"/>
      <c r="HBI44" s="291"/>
      <c r="HBJ44" s="292"/>
      <c r="HBK44" s="292"/>
      <c r="HBL44" s="292"/>
      <c r="HBM44" s="291"/>
      <c r="HBN44" s="292"/>
      <c r="HBO44" s="292"/>
      <c r="HBP44" s="292"/>
      <c r="HBQ44" s="291"/>
      <c r="HBR44" s="292"/>
      <c r="HBS44" s="292"/>
      <c r="HBT44" s="292"/>
      <c r="HBU44" s="291"/>
      <c r="HBV44" s="292"/>
      <c r="HBW44" s="292"/>
      <c r="HBX44" s="292"/>
      <c r="HBY44" s="291"/>
      <c r="HBZ44" s="292"/>
      <c r="HCA44" s="292"/>
      <c r="HCB44" s="292"/>
      <c r="HCC44" s="291"/>
      <c r="HCD44" s="292"/>
      <c r="HCE44" s="292"/>
      <c r="HCF44" s="292"/>
      <c r="HCG44" s="291"/>
      <c r="HCH44" s="292"/>
      <c r="HCI44" s="292"/>
      <c r="HCJ44" s="292"/>
      <c r="HCK44" s="291"/>
      <c r="HCL44" s="292"/>
      <c r="HCM44" s="292"/>
      <c r="HCN44" s="292"/>
      <c r="HCO44" s="291"/>
      <c r="HCP44" s="292"/>
      <c r="HCQ44" s="292"/>
      <c r="HCR44" s="292"/>
      <c r="HCS44" s="291"/>
      <c r="HCT44" s="292"/>
      <c r="HCU44" s="292"/>
      <c r="HCV44" s="292"/>
      <c r="HCW44" s="291"/>
      <c r="HCX44" s="292"/>
      <c r="HCY44" s="292"/>
      <c r="HCZ44" s="292"/>
      <c r="HDA44" s="291"/>
      <c r="HDB44" s="292"/>
      <c r="HDC44" s="292"/>
      <c r="HDD44" s="292"/>
      <c r="HDE44" s="291"/>
      <c r="HDF44" s="292"/>
      <c r="HDG44" s="292"/>
      <c r="HDH44" s="292"/>
      <c r="HDI44" s="291"/>
      <c r="HDJ44" s="292"/>
      <c r="HDK44" s="292"/>
      <c r="HDL44" s="292"/>
      <c r="HDM44" s="291"/>
      <c r="HDN44" s="292"/>
      <c r="HDO44" s="292"/>
      <c r="HDP44" s="292"/>
      <c r="HDQ44" s="291"/>
      <c r="HDR44" s="292"/>
      <c r="HDS44" s="292"/>
      <c r="HDT44" s="292"/>
      <c r="HDU44" s="291"/>
      <c r="HDV44" s="292"/>
      <c r="HDW44" s="292"/>
      <c r="HDX44" s="292"/>
      <c r="HDY44" s="291"/>
      <c r="HDZ44" s="292"/>
      <c r="HEA44" s="292"/>
      <c r="HEB44" s="292"/>
      <c r="HEC44" s="291"/>
      <c r="HED44" s="292"/>
      <c r="HEE44" s="292"/>
      <c r="HEF44" s="292"/>
      <c r="HEG44" s="291"/>
      <c r="HEH44" s="292"/>
      <c r="HEI44" s="292"/>
      <c r="HEJ44" s="292"/>
      <c r="HEK44" s="291"/>
      <c r="HEL44" s="292"/>
      <c r="HEM44" s="292"/>
      <c r="HEN44" s="292"/>
      <c r="HEO44" s="291"/>
      <c r="HEP44" s="292"/>
      <c r="HEQ44" s="292"/>
      <c r="HER44" s="292"/>
      <c r="HES44" s="291"/>
      <c r="HET44" s="292"/>
      <c r="HEU44" s="292"/>
      <c r="HEV44" s="292"/>
      <c r="HEW44" s="291"/>
      <c r="HEX44" s="292"/>
      <c r="HEY44" s="292"/>
      <c r="HEZ44" s="292"/>
      <c r="HFA44" s="291"/>
      <c r="HFB44" s="292"/>
      <c r="HFC44" s="292"/>
      <c r="HFD44" s="292"/>
      <c r="HFE44" s="291"/>
      <c r="HFF44" s="292"/>
      <c r="HFG44" s="292"/>
      <c r="HFH44" s="292"/>
      <c r="HFI44" s="291"/>
      <c r="HFJ44" s="292"/>
      <c r="HFK44" s="292"/>
      <c r="HFL44" s="292"/>
      <c r="HFM44" s="291"/>
      <c r="HFN44" s="292"/>
      <c r="HFO44" s="292"/>
      <c r="HFP44" s="292"/>
      <c r="HFQ44" s="291"/>
      <c r="HFR44" s="292"/>
      <c r="HFS44" s="292"/>
      <c r="HFT44" s="292"/>
      <c r="HFU44" s="291"/>
      <c r="HFV44" s="292"/>
      <c r="HFW44" s="292"/>
      <c r="HFX44" s="292"/>
      <c r="HFY44" s="291"/>
      <c r="HFZ44" s="292"/>
      <c r="HGA44" s="292"/>
      <c r="HGB44" s="292"/>
      <c r="HGC44" s="291"/>
      <c r="HGD44" s="292"/>
      <c r="HGE44" s="292"/>
      <c r="HGF44" s="292"/>
      <c r="HGG44" s="291"/>
      <c r="HGH44" s="292"/>
      <c r="HGI44" s="292"/>
      <c r="HGJ44" s="292"/>
      <c r="HGK44" s="291"/>
      <c r="HGL44" s="292"/>
      <c r="HGM44" s="292"/>
      <c r="HGN44" s="292"/>
      <c r="HGO44" s="291"/>
      <c r="HGP44" s="292"/>
      <c r="HGQ44" s="292"/>
      <c r="HGR44" s="292"/>
      <c r="HGS44" s="291"/>
      <c r="HGT44" s="292"/>
      <c r="HGU44" s="292"/>
      <c r="HGV44" s="292"/>
      <c r="HGW44" s="291"/>
      <c r="HGX44" s="292"/>
      <c r="HGY44" s="292"/>
      <c r="HGZ44" s="292"/>
      <c r="HHA44" s="291"/>
      <c r="HHB44" s="292"/>
      <c r="HHC44" s="292"/>
      <c r="HHD44" s="292"/>
      <c r="HHE44" s="291"/>
      <c r="HHF44" s="292"/>
      <c r="HHG44" s="292"/>
      <c r="HHH44" s="292"/>
      <c r="HHI44" s="291"/>
      <c r="HHJ44" s="292"/>
      <c r="HHK44" s="292"/>
      <c r="HHL44" s="292"/>
      <c r="HHM44" s="291"/>
      <c r="HHN44" s="292"/>
      <c r="HHO44" s="292"/>
      <c r="HHP44" s="292"/>
      <c r="HHQ44" s="291"/>
      <c r="HHR44" s="292"/>
      <c r="HHS44" s="292"/>
      <c r="HHT44" s="292"/>
      <c r="HHU44" s="291"/>
      <c r="HHV44" s="292"/>
      <c r="HHW44" s="292"/>
      <c r="HHX44" s="292"/>
      <c r="HHY44" s="291"/>
      <c r="HHZ44" s="292"/>
      <c r="HIA44" s="292"/>
      <c r="HIB44" s="292"/>
      <c r="HIC44" s="291"/>
      <c r="HID44" s="292"/>
      <c r="HIE44" s="292"/>
      <c r="HIF44" s="292"/>
      <c r="HIG44" s="291"/>
      <c r="HIH44" s="292"/>
      <c r="HII44" s="292"/>
      <c r="HIJ44" s="292"/>
      <c r="HIK44" s="291"/>
      <c r="HIL44" s="292"/>
      <c r="HIM44" s="292"/>
      <c r="HIN44" s="292"/>
      <c r="HIO44" s="291"/>
      <c r="HIP44" s="292"/>
      <c r="HIQ44" s="292"/>
      <c r="HIR44" s="292"/>
      <c r="HIS44" s="291"/>
      <c r="HIT44" s="292"/>
      <c r="HIU44" s="292"/>
      <c r="HIV44" s="292"/>
      <c r="HIW44" s="291"/>
      <c r="HIX44" s="292"/>
      <c r="HIY44" s="292"/>
      <c r="HIZ44" s="292"/>
      <c r="HJA44" s="291"/>
      <c r="HJB44" s="292"/>
      <c r="HJC44" s="292"/>
      <c r="HJD44" s="292"/>
      <c r="HJE44" s="291"/>
      <c r="HJF44" s="292"/>
      <c r="HJG44" s="292"/>
      <c r="HJH44" s="292"/>
      <c r="HJI44" s="291"/>
      <c r="HJJ44" s="292"/>
      <c r="HJK44" s="292"/>
      <c r="HJL44" s="292"/>
      <c r="HJM44" s="291"/>
      <c r="HJN44" s="292"/>
      <c r="HJO44" s="292"/>
      <c r="HJP44" s="292"/>
      <c r="HJQ44" s="291"/>
      <c r="HJR44" s="292"/>
      <c r="HJS44" s="292"/>
      <c r="HJT44" s="292"/>
      <c r="HJU44" s="291"/>
      <c r="HJV44" s="292"/>
      <c r="HJW44" s="292"/>
      <c r="HJX44" s="292"/>
      <c r="HJY44" s="291"/>
      <c r="HJZ44" s="292"/>
      <c r="HKA44" s="292"/>
      <c r="HKB44" s="292"/>
      <c r="HKC44" s="291"/>
      <c r="HKD44" s="292"/>
      <c r="HKE44" s="292"/>
      <c r="HKF44" s="292"/>
      <c r="HKG44" s="291"/>
      <c r="HKH44" s="292"/>
      <c r="HKI44" s="292"/>
      <c r="HKJ44" s="292"/>
      <c r="HKK44" s="291"/>
      <c r="HKL44" s="292"/>
      <c r="HKM44" s="292"/>
      <c r="HKN44" s="292"/>
      <c r="HKO44" s="291"/>
      <c r="HKP44" s="292"/>
      <c r="HKQ44" s="292"/>
      <c r="HKR44" s="292"/>
      <c r="HKS44" s="291"/>
      <c r="HKT44" s="292"/>
      <c r="HKU44" s="292"/>
      <c r="HKV44" s="292"/>
      <c r="HKW44" s="291"/>
      <c r="HKX44" s="292"/>
      <c r="HKY44" s="292"/>
      <c r="HKZ44" s="292"/>
      <c r="HLA44" s="291"/>
      <c r="HLB44" s="292"/>
      <c r="HLC44" s="292"/>
      <c r="HLD44" s="292"/>
      <c r="HLE44" s="291"/>
      <c r="HLF44" s="292"/>
      <c r="HLG44" s="292"/>
      <c r="HLH44" s="292"/>
      <c r="HLI44" s="291"/>
      <c r="HLJ44" s="292"/>
      <c r="HLK44" s="292"/>
      <c r="HLL44" s="292"/>
      <c r="HLM44" s="291"/>
      <c r="HLN44" s="292"/>
      <c r="HLO44" s="292"/>
      <c r="HLP44" s="292"/>
      <c r="HLQ44" s="291"/>
      <c r="HLR44" s="292"/>
      <c r="HLS44" s="292"/>
      <c r="HLT44" s="292"/>
      <c r="HLU44" s="291"/>
      <c r="HLV44" s="292"/>
      <c r="HLW44" s="292"/>
      <c r="HLX44" s="292"/>
      <c r="HLY44" s="291"/>
      <c r="HLZ44" s="292"/>
      <c r="HMA44" s="292"/>
      <c r="HMB44" s="292"/>
      <c r="HMC44" s="291"/>
      <c r="HMD44" s="292"/>
      <c r="HME44" s="292"/>
      <c r="HMF44" s="292"/>
      <c r="HMG44" s="291"/>
      <c r="HMH44" s="292"/>
      <c r="HMI44" s="292"/>
      <c r="HMJ44" s="292"/>
      <c r="HMK44" s="291"/>
      <c r="HML44" s="292"/>
      <c r="HMM44" s="292"/>
      <c r="HMN44" s="292"/>
      <c r="HMO44" s="291"/>
      <c r="HMP44" s="292"/>
      <c r="HMQ44" s="292"/>
      <c r="HMR44" s="292"/>
      <c r="HMS44" s="291"/>
      <c r="HMT44" s="292"/>
      <c r="HMU44" s="292"/>
      <c r="HMV44" s="292"/>
      <c r="HMW44" s="291"/>
      <c r="HMX44" s="292"/>
      <c r="HMY44" s="292"/>
      <c r="HMZ44" s="292"/>
      <c r="HNA44" s="291"/>
      <c r="HNB44" s="292"/>
      <c r="HNC44" s="292"/>
      <c r="HND44" s="292"/>
      <c r="HNE44" s="291"/>
      <c r="HNF44" s="292"/>
      <c r="HNG44" s="292"/>
      <c r="HNH44" s="292"/>
      <c r="HNI44" s="291"/>
      <c r="HNJ44" s="292"/>
      <c r="HNK44" s="292"/>
      <c r="HNL44" s="292"/>
      <c r="HNM44" s="291"/>
      <c r="HNN44" s="292"/>
      <c r="HNO44" s="292"/>
      <c r="HNP44" s="292"/>
      <c r="HNQ44" s="291"/>
      <c r="HNR44" s="292"/>
      <c r="HNS44" s="292"/>
      <c r="HNT44" s="292"/>
      <c r="HNU44" s="291"/>
      <c r="HNV44" s="292"/>
      <c r="HNW44" s="292"/>
      <c r="HNX44" s="292"/>
      <c r="HNY44" s="291"/>
      <c r="HNZ44" s="292"/>
      <c r="HOA44" s="292"/>
      <c r="HOB44" s="292"/>
      <c r="HOC44" s="291"/>
      <c r="HOD44" s="292"/>
      <c r="HOE44" s="292"/>
      <c r="HOF44" s="292"/>
      <c r="HOG44" s="291"/>
      <c r="HOH44" s="292"/>
      <c r="HOI44" s="292"/>
      <c r="HOJ44" s="292"/>
      <c r="HOK44" s="291"/>
      <c r="HOL44" s="292"/>
      <c r="HOM44" s="292"/>
      <c r="HON44" s="292"/>
      <c r="HOO44" s="291"/>
      <c r="HOP44" s="292"/>
      <c r="HOQ44" s="292"/>
      <c r="HOR44" s="292"/>
      <c r="HOS44" s="291"/>
      <c r="HOT44" s="292"/>
      <c r="HOU44" s="292"/>
      <c r="HOV44" s="292"/>
      <c r="HOW44" s="291"/>
      <c r="HOX44" s="292"/>
      <c r="HOY44" s="292"/>
      <c r="HOZ44" s="292"/>
      <c r="HPA44" s="291"/>
      <c r="HPB44" s="292"/>
      <c r="HPC44" s="292"/>
      <c r="HPD44" s="292"/>
      <c r="HPE44" s="291"/>
      <c r="HPF44" s="292"/>
      <c r="HPG44" s="292"/>
      <c r="HPH44" s="292"/>
      <c r="HPI44" s="291"/>
      <c r="HPJ44" s="292"/>
      <c r="HPK44" s="292"/>
      <c r="HPL44" s="292"/>
      <c r="HPM44" s="291"/>
      <c r="HPN44" s="292"/>
      <c r="HPO44" s="292"/>
      <c r="HPP44" s="292"/>
      <c r="HPQ44" s="291"/>
      <c r="HPR44" s="292"/>
      <c r="HPS44" s="292"/>
      <c r="HPT44" s="292"/>
      <c r="HPU44" s="291"/>
      <c r="HPV44" s="292"/>
      <c r="HPW44" s="292"/>
      <c r="HPX44" s="292"/>
      <c r="HPY44" s="291"/>
      <c r="HPZ44" s="292"/>
      <c r="HQA44" s="292"/>
      <c r="HQB44" s="292"/>
      <c r="HQC44" s="291"/>
      <c r="HQD44" s="292"/>
      <c r="HQE44" s="292"/>
      <c r="HQF44" s="292"/>
      <c r="HQG44" s="291"/>
      <c r="HQH44" s="292"/>
      <c r="HQI44" s="292"/>
      <c r="HQJ44" s="292"/>
      <c r="HQK44" s="291"/>
      <c r="HQL44" s="292"/>
      <c r="HQM44" s="292"/>
      <c r="HQN44" s="292"/>
      <c r="HQO44" s="291"/>
      <c r="HQP44" s="292"/>
      <c r="HQQ44" s="292"/>
      <c r="HQR44" s="292"/>
      <c r="HQS44" s="291"/>
      <c r="HQT44" s="292"/>
      <c r="HQU44" s="292"/>
      <c r="HQV44" s="292"/>
      <c r="HQW44" s="291"/>
      <c r="HQX44" s="292"/>
      <c r="HQY44" s="292"/>
      <c r="HQZ44" s="292"/>
      <c r="HRA44" s="291"/>
      <c r="HRB44" s="292"/>
      <c r="HRC44" s="292"/>
      <c r="HRD44" s="292"/>
      <c r="HRE44" s="291"/>
      <c r="HRF44" s="292"/>
      <c r="HRG44" s="292"/>
      <c r="HRH44" s="292"/>
      <c r="HRI44" s="291"/>
      <c r="HRJ44" s="292"/>
      <c r="HRK44" s="292"/>
      <c r="HRL44" s="292"/>
      <c r="HRM44" s="291"/>
      <c r="HRN44" s="292"/>
      <c r="HRO44" s="292"/>
      <c r="HRP44" s="292"/>
      <c r="HRQ44" s="291"/>
      <c r="HRR44" s="292"/>
      <c r="HRS44" s="292"/>
      <c r="HRT44" s="292"/>
      <c r="HRU44" s="291"/>
      <c r="HRV44" s="292"/>
      <c r="HRW44" s="292"/>
      <c r="HRX44" s="292"/>
      <c r="HRY44" s="291"/>
      <c r="HRZ44" s="292"/>
      <c r="HSA44" s="292"/>
      <c r="HSB44" s="292"/>
      <c r="HSC44" s="291"/>
      <c r="HSD44" s="292"/>
      <c r="HSE44" s="292"/>
      <c r="HSF44" s="292"/>
      <c r="HSG44" s="291"/>
      <c r="HSH44" s="292"/>
      <c r="HSI44" s="292"/>
      <c r="HSJ44" s="292"/>
      <c r="HSK44" s="291"/>
      <c r="HSL44" s="292"/>
      <c r="HSM44" s="292"/>
      <c r="HSN44" s="292"/>
      <c r="HSO44" s="291"/>
      <c r="HSP44" s="292"/>
      <c r="HSQ44" s="292"/>
      <c r="HSR44" s="292"/>
      <c r="HSS44" s="291"/>
      <c r="HST44" s="292"/>
      <c r="HSU44" s="292"/>
      <c r="HSV44" s="292"/>
      <c r="HSW44" s="291"/>
      <c r="HSX44" s="292"/>
      <c r="HSY44" s="292"/>
      <c r="HSZ44" s="292"/>
      <c r="HTA44" s="291"/>
      <c r="HTB44" s="292"/>
      <c r="HTC44" s="292"/>
      <c r="HTD44" s="292"/>
      <c r="HTE44" s="291"/>
      <c r="HTF44" s="292"/>
      <c r="HTG44" s="292"/>
      <c r="HTH44" s="292"/>
      <c r="HTI44" s="291"/>
      <c r="HTJ44" s="292"/>
      <c r="HTK44" s="292"/>
      <c r="HTL44" s="292"/>
      <c r="HTM44" s="291"/>
      <c r="HTN44" s="292"/>
      <c r="HTO44" s="292"/>
      <c r="HTP44" s="292"/>
      <c r="HTQ44" s="291"/>
      <c r="HTR44" s="292"/>
      <c r="HTS44" s="292"/>
      <c r="HTT44" s="292"/>
      <c r="HTU44" s="291"/>
      <c r="HTV44" s="292"/>
      <c r="HTW44" s="292"/>
      <c r="HTX44" s="292"/>
      <c r="HTY44" s="291"/>
      <c r="HTZ44" s="292"/>
      <c r="HUA44" s="292"/>
      <c r="HUB44" s="292"/>
      <c r="HUC44" s="291"/>
      <c r="HUD44" s="292"/>
      <c r="HUE44" s="292"/>
      <c r="HUF44" s="292"/>
      <c r="HUG44" s="291"/>
      <c r="HUH44" s="292"/>
      <c r="HUI44" s="292"/>
      <c r="HUJ44" s="292"/>
      <c r="HUK44" s="291"/>
      <c r="HUL44" s="292"/>
      <c r="HUM44" s="292"/>
      <c r="HUN44" s="292"/>
      <c r="HUO44" s="291"/>
      <c r="HUP44" s="292"/>
      <c r="HUQ44" s="292"/>
      <c r="HUR44" s="292"/>
      <c r="HUS44" s="291"/>
      <c r="HUT44" s="292"/>
      <c r="HUU44" s="292"/>
      <c r="HUV44" s="292"/>
      <c r="HUW44" s="291"/>
      <c r="HUX44" s="292"/>
      <c r="HUY44" s="292"/>
      <c r="HUZ44" s="292"/>
      <c r="HVA44" s="291"/>
      <c r="HVB44" s="292"/>
      <c r="HVC44" s="292"/>
      <c r="HVD44" s="292"/>
      <c r="HVE44" s="291"/>
      <c r="HVF44" s="292"/>
      <c r="HVG44" s="292"/>
      <c r="HVH44" s="292"/>
      <c r="HVI44" s="291"/>
      <c r="HVJ44" s="292"/>
      <c r="HVK44" s="292"/>
      <c r="HVL44" s="292"/>
      <c r="HVM44" s="291"/>
      <c r="HVN44" s="292"/>
      <c r="HVO44" s="292"/>
      <c r="HVP44" s="292"/>
      <c r="HVQ44" s="291"/>
      <c r="HVR44" s="292"/>
      <c r="HVS44" s="292"/>
      <c r="HVT44" s="292"/>
      <c r="HVU44" s="291"/>
      <c r="HVV44" s="292"/>
      <c r="HVW44" s="292"/>
      <c r="HVX44" s="292"/>
      <c r="HVY44" s="291"/>
      <c r="HVZ44" s="292"/>
      <c r="HWA44" s="292"/>
      <c r="HWB44" s="292"/>
      <c r="HWC44" s="291"/>
      <c r="HWD44" s="292"/>
      <c r="HWE44" s="292"/>
      <c r="HWF44" s="292"/>
      <c r="HWG44" s="291"/>
      <c r="HWH44" s="292"/>
      <c r="HWI44" s="292"/>
      <c r="HWJ44" s="292"/>
      <c r="HWK44" s="291"/>
      <c r="HWL44" s="292"/>
      <c r="HWM44" s="292"/>
      <c r="HWN44" s="292"/>
      <c r="HWO44" s="291"/>
      <c r="HWP44" s="292"/>
      <c r="HWQ44" s="292"/>
      <c r="HWR44" s="292"/>
      <c r="HWS44" s="291"/>
      <c r="HWT44" s="292"/>
      <c r="HWU44" s="292"/>
      <c r="HWV44" s="292"/>
      <c r="HWW44" s="291"/>
      <c r="HWX44" s="292"/>
      <c r="HWY44" s="292"/>
      <c r="HWZ44" s="292"/>
      <c r="HXA44" s="291"/>
      <c r="HXB44" s="292"/>
      <c r="HXC44" s="292"/>
      <c r="HXD44" s="292"/>
      <c r="HXE44" s="291"/>
      <c r="HXF44" s="292"/>
      <c r="HXG44" s="292"/>
      <c r="HXH44" s="292"/>
      <c r="HXI44" s="291"/>
      <c r="HXJ44" s="292"/>
      <c r="HXK44" s="292"/>
      <c r="HXL44" s="292"/>
      <c r="HXM44" s="291"/>
      <c r="HXN44" s="292"/>
      <c r="HXO44" s="292"/>
      <c r="HXP44" s="292"/>
      <c r="HXQ44" s="291"/>
      <c r="HXR44" s="292"/>
      <c r="HXS44" s="292"/>
      <c r="HXT44" s="292"/>
      <c r="HXU44" s="291"/>
      <c r="HXV44" s="292"/>
      <c r="HXW44" s="292"/>
      <c r="HXX44" s="292"/>
      <c r="HXY44" s="291"/>
      <c r="HXZ44" s="292"/>
      <c r="HYA44" s="292"/>
      <c r="HYB44" s="292"/>
      <c r="HYC44" s="291"/>
      <c r="HYD44" s="292"/>
      <c r="HYE44" s="292"/>
      <c r="HYF44" s="292"/>
      <c r="HYG44" s="291"/>
      <c r="HYH44" s="292"/>
      <c r="HYI44" s="292"/>
      <c r="HYJ44" s="292"/>
      <c r="HYK44" s="291"/>
      <c r="HYL44" s="292"/>
      <c r="HYM44" s="292"/>
      <c r="HYN44" s="292"/>
      <c r="HYO44" s="291"/>
      <c r="HYP44" s="292"/>
      <c r="HYQ44" s="292"/>
      <c r="HYR44" s="292"/>
      <c r="HYS44" s="291"/>
      <c r="HYT44" s="292"/>
      <c r="HYU44" s="292"/>
      <c r="HYV44" s="292"/>
      <c r="HYW44" s="291"/>
      <c r="HYX44" s="292"/>
      <c r="HYY44" s="292"/>
      <c r="HYZ44" s="292"/>
      <c r="HZA44" s="291"/>
      <c r="HZB44" s="292"/>
      <c r="HZC44" s="292"/>
      <c r="HZD44" s="292"/>
      <c r="HZE44" s="291"/>
      <c r="HZF44" s="292"/>
      <c r="HZG44" s="292"/>
      <c r="HZH44" s="292"/>
      <c r="HZI44" s="291"/>
      <c r="HZJ44" s="292"/>
      <c r="HZK44" s="292"/>
      <c r="HZL44" s="292"/>
      <c r="HZM44" s="291"/>
      <c r="HZN44" s="292"/>
      <c r="HZO44" s="292"/>
      <c r="HZP44" s="292"/>
      <c r="HZQ44" s="291"/>
      <c r="HZR44" s="292"/>
      <c r="HZS44" s="292"/>
      <c r="HZT44" s="292"/>
      <c r="HZU44" s="291"/>
      <c r="HZV44" s="292"/>
      <c r="HZW44" s="292"/>
      <c r="HZX44" s="292"/>
      <c r="HZY44" s="291"/>
      <c r="HZZ44" s="292"/>
      <c r="IAA44" s="292"/>
      <c r="IAB44" s="292"/>
      <c r="IAC44" s="291"/>
      <c r="IAD44" s="292"/>
      <c r="IAE44" s="292"/>
      <c r="IAF44" s="292"/>
      <c r="IAG44" s="291"/>
      <c r="IAH44" s="292"/>
      <c r="IAI44" s="292"/>
      <c r="IAJ44" s="292"/>
      <c r="IAK44" s="291"/>
      <c r="IAL44" s="292"/>
      <c r="IAM44" s="292"/>
      <c r="IAN44" s="292"/>
      <c r="IAO44" s="291"/>
      <c r="IAP44" s="292"/>
      <c r="IAQ44" s="292"/>
      <c r="IAR44" s="292"/>
      <c r="IAS44" s="291"/>
      <c r="IAT44" s="292"/>
      <c r="IAU44" s="292"/>
      <c r="IAV44" s="292"/>
      <c r="IAW44" s="291"/>
      <c r="IAX44" s="292"/>
      <c r="IAY44" s="292"/>
      <c r="IAZ44" s="292"/>
      <c r="IBA44" s="291"/>
      <c r="IBB44" s="292"/>
      <c r="IBC44" s="292"/>
      <c r="IBD44" s="292"/>
      <c r="IBE44" s="291"/>
      <c r="IBF44" s="292"/>
      <c r="IBG44" s="292"/>
      <c r="IBH44" s="292"/>
      <c r="IBI44" s="291"/>
      <c r="IBJ44" s="292"/>
      <c r="IBK44" s="292"/>
      <c r="IBL44" s="292"/>
      <c r="IBM44" s="291"/>
      <c r="IBN44" s="292"/>
      <c r="IBO44" s="292"/>
      <c r="IBP44" s="292"/>
      <c r="IBQ44" s="291"/>
      <c r="IBR44" s="292"/>
      <c r="IBS44" s="292"/>
      <c r="IBT44" s="292"/>
      <c r="IBU44" s="291"/>
      <c r="IBV44" s="292"/>
      <c r="IBW44" s="292"/>
      <c r="IBX44" s="292"/>
      <c r="IBY44" s="291"/>
      <c r="IBZ44" s="292"/>
      <c r="ICA44" s="292"/>
      <c r="ICB44" s="292"/>
      <c r="ICC44" s="291"/>
      <c r="ICD44" s="292"/>
      <c r="ICE44" s="292"/>
      <c r="ICF44" s="292"/>
      <c r="ICG44" s="291"/>
      <c r="ICH44" s="292"/>
      <c r="ICI44" s="292"/>
      <c r="ICJ44" s="292"/>
      <c r="ICK44" s="291"/>
      <c r="ICL44" s="292"/>
      <c r="ICM44" s="292"/>
      <c r="ICN44" s="292"/>
      <c r="ICO44" s="291"/>
      <c r="ICP44" s="292"/>
      <c r="ICQ44" s="292"/>
      <c r="ICR44" s="292"/>
      <c r="ICS44" s="291"/>
      <c r="ICT44" s="292"/>
      <c r="ICU44" s="292"/>
      <c r="ICV44" s="292"/>
      <c r="ICW44" s="291"/>
      <c r="ICX44" s="292"/>
      <c r="ICY44" s="292"/>
      <c r="ICZ44" s="292"/>
      <c r="IDA44" s="291"/>
      <c r="IDB44" s="292"/>
      <c r="IDC44" s="292"/>
      <c r="IDD44" s="292"/>
      <c r="IDE44" s="291"/>
      <c r="IDF44" s="292"/>
      <c r="IDG44" s="292"/>
      <c r="IDH44" s="292"/>
      <c r="IDI44" s="291"/>
      <c r="IDJ44" s="292"/>
      <c r="IDK44" s="292"/>
      <c r="IDL44" s="292"/>
      <c r="IDM44" s="291"/>
      <c r="IDN44" s="292"/>
      <c r="IDO44" s="292"/>
      <c r="IDP44" s="292"/>
      <c r="IDQ44" s="291"/>
      <c r="IDR44" s="292"/>
      <c r="IDS44" s="292"/>
      <c r="IDT44" s="292"/>
      <c r="IDU44" s="291"/>
      <c r="IDV44" s="292"/>
      <c r="IDW44" s="292"/>
      <c r="IDX44" s="292"/>
      <c r="IDY44" s="291"/>
      <c r="IDZ44" s="292"/>
      <c r="IEA44" s="292"/>
      <c r="IEB44" s="292"/>
      <c r="IEC44" s="291"/>
      <c r="IED44" s="292"/>
      <c r="IEE44" s="292"/>
      <c r="IEF44" s="292"/>
      <c r="IEG44" s="291"/>
      <c r="IEH44" s="292"/>
      <c r="IEI44" s="292"/>
      <c r="IEJ44" s="292"/>
      <c r="IEK44" s="291"/>
      <c r="IEL44" s="292"/>
      <c r="IEM44" s="292"/>
      <c r="IEN44" s="292"/>
      <c r="IEO44" s="291"/>
      <c r="IEP44" s="292"/>
      <c r="IEQ44" s="292"/>
      <c r="IER44" s="292"/>
      <c r="IES44" s="291"/>
      <c r="IET44" s="292"/>
      <c r="IEU44" s="292"/>
      <c r="IEV44" s="292"/>
      <c r="IEW44" s="291"/>
      <c r="IEX44" s="292"/>
      <c r="IEY44" s="292"/>
      <c r="IEZ44" s="292"/>
      <c r="IFA44" s="291"/>
      <c r="IFB44" s="292"/>
      <c r="IFC44" s="292"/>
      <c r="IFD44" s="292"/>
      <c r="IFE44" s="291"/>
      <c r="IFF44" s="292"/>
      <c r="IFG44" s="292"/>
      <c r="IFH44" s="292"/>
      <c r="IFI44" s="291"/>
      <c r="IFJ44" s="292"/>
      <c r="IFK44" s="292"/>
      <c r="IFL44" s="292"/>
      <c r="IFM44" s="291"/>
      <c r="IFN44" s="292"/>
      <c r="IFO44" s="292"/>
      <c r="IFP44" s="292"/>
      <c r="IFQ44" s="291"/>
      <c r="IFR44" s="292"/>
      <c r="IFS44" s="292"/>
      <c r="IFT44" s="292"/>
      <c r="IFU44" s="291"/>
      <c r="IFV44" s="292"/>
      <c r="IFW44" s="292"/>
      <c r="IFX44" s="292"/>
      <c r="IFY44" s="291"/>
      <c r="IFZ44" s="292"/>
      <c r="IGA44" s="292"/>
      <c r="IGB44" s="292"/>
      <c r="IGC44" s="291"/>
      <c r="IGD44" s="292"/>
      <c r="IGE44" s="292"/>
      <c r="IGF44" s="292"/>
      <c r="IGG44" s="291"/>
      <c r="IGH44" s="292"/>
      <c r="IGI44" s="292"/>
      <c r="IGJ44" s="292"/>
      <c r="IGK44" s="291"/>
      <c r="IGL44" s="292"/>
      <c r="IGM44" s="292"/>
      <c r="IGN44" s="292"/>
      <c r="IGO44" s="291"/>
      <c r="IGP44" s="292"/>
      <c r="IGQ44" s="292"/>
      <c r="IGR44" s="292"/>
      <c r="IGS44" s="291"/>
      <c r="IGT44" s="292"/>
      <c r="IGU44" s="292"/>
      <c r="IGV44" s="292"/>
      <c r="IGW44" s="291"/>
      <c r="IGX44" s="292"/>
      <c r="IGY44" s="292"/>
      <c r="IGZ44" s="292"/>
      <c r="IHA44" s="291"/>
      <c r="IHB44" s="292"/>
      <c r="IHC44" s="292"/>
      <c r="IHD44" s="292"/>
      <c r="IHE44" s="291"/>
      <c r="IHF44" s="292"/>
      <c r="IHG44" s="292"/>
      <c r="IHH44" s="292"/>
      <c r="IHI44" s="291"/>
      <c r="IHJ44" s="292"/>
      <c r="IHK44" s="292"/>
      <c r="IHL44" s="292"/>
      <c r="IHM44" s="291"/>
      <c r="IHN44" s="292"/>
      <c r="IHO44" s="292"/>
      <c r="IHP44" s="292"/>
      <c r="IHQ44" s="291"/>
      <c r="IHR44" s="292"/>
      <c r="IHS44" s="292"/>
      <c r="IHT44" s="292"/>
      <c r="IHU44" s="291"/>
      <c r="IHV44" s="292"/>
      <c r="IHW44" s="292"/>
      <c r="IHX44" s="292"/>
      <c r="IHY44" s="291"/>
      <c r="IHZ44" s="292"/>
      <c r="IIA44" s="292"/>
      <c r="IIB44" s="292"/>
      <c r="IIC44" s="291"/>
      <c r="IID44" s="292"/>
      <c r="IIE44" s="292"/>
      <c r="IIF44" s="292"/>
      <c r="IIG44" s="291"/>
      <c r="IIH44" s="292"/>
      <c r="III44" s="292"/>
      <c r="IIJ44" s="292"/>
      <c r="IIK44" s="291"/>
      <c r="IIL44" s="292"/>
      <c r="IIM44" s="292"/>
      <c r="IIN44" s="292"/>
      <c r="IIO44" s="291"/>
      <c r="IIP44" s="292"/>
      <c r="IIQ44" s="292"/>
      <c r="IIR44" s="292"/>
      <c r="IIS44" s="291"/>
      <c r="IIT44" s="292"/>
      <c r="IIU44" s="292"/>
      <c r="IIV44" s="292"/>
      <c r="IIW44" s="291"/>
      <c r="IIX44" s="292"/>
      <c r="IIY44" s="292"/>
      <c r="IIZ44" s="292"/>
      <c r="IJA44" s="291"/>
      <c r="IJB44" s="292"/>
      <c r="IJC44" s="292"/>
      <c r="IJD44" s="292"/>
      <c r="IJE44" s="291"/>
      <c r="IJF44" s="292"/>
      <c r="IJG44" s="292"/>
      <c r="IJH44" s="292"/>
      <c r="IJI44" s="291"/>
      <c r="IJJ44" s="292"/>
      <c r="IJK44" s="292"/>
      <c r="IJL44" s="292"/>
      <c r="IJM44" s="291"/>
      <c r="IJN44" s="292"/>
      <c r="IJO44" s="292"/>
      <c r="IJP44" s="292"/>
      <c r="IJQ44" s="291"/>
      <c r="IJR44" s="292"/>
      <c r="IJS44" s="292"/>
      <c r="IJT44" s="292"/>
      <c r="IJU44" s="291"/>
      <c r="IJV44" s="292"/>
      <c r="IJW44" s="292"/>
      <c r="IJX44" s="292"/>
      <c r="IJY44" s="291"/>
      <c r="IJZ44" s="292"/>
      <c r="IKA44" s="292"/>
      <c r="IKB44" s="292"/>
      <c r="IKC44" s="291"/>
      <c r="IKD44" s="292"/>
      <c r="IKE44" s="292"/>
      <c r="IKF44" s="292"/>
      <c r="IKG44" s="291"/>
      <c r="IKH44" s="292"/>
      <c r="IKI44" s="292"/>
      <c r="IKJ44" s="292"/>
      <c r="IKK44" s="291"/>
      <c r="IKL44" s="292"/>
      <c r="IKM44" s="292"/>
      <c r="IKN44" s="292"/>
      <c r="IKO44" s="291"/>
      <c r="IKP44" s="292"/>
      <c r="IKQ44" s="292"/>
      <c r="IKR44" s="292"/>
      <c r="IKS44" s="291"/>
      <c r="IKT44" s="292"/>
      <c r="IKU44" s="292"/>
      <c r="IKV44" s="292"/>
      <c r="IKW44" s="291"/>
      <c r="IKX44" s="292"/>
      <c r="IKY44" s="292"/>
      <c r="IKZ44" s="292"/>
      <c r="ILA44" s="291"/>
      <c r="ILB44" s="292"/>
      <c r="ILC44" s="292"/>
      <c r="ILD44" s="292"/>
      <c r="ILE44" s="291"/>
      <c r="ILF44" s="292"/>
      <c r="ILG44" s="292"/>
      <c r="ILH44" s="292"/>
      <c r="ILI44" s="291"/>
      <c r="ILJ44" s="292"/>
      <c r="ILK44" s="292"/>
      <c r="ILL44" s="292"/>
      <c r="ILM44" s="291"/>
      <c r="ILN44" s="292"/>
      <c r="ILO44" s="292"/>
      <c r="ILP44" s="292"/>
      <c r="ILQ44" s="291"/>
      <c r="ILR44" s="292"/>
      <c r="ILS44" s="292"/>
      <c r="ILT44" s="292"/>
      <c r="ILU44" s="291"/>
      <c r="ILV44" s="292"/>
      <c r="ILW44" s="292"/>
      <c r="ILX44" s="292"/>
      <c r="ILY44" s="291"/>
      <c r="ILZ44" s="292"/>
      <c r="IMA44" s="292"/>
      <c r="IMB44" s="292"/>
      <c r="IMC44" s="291"/>
      <c r="IMD44" s="292"/>
      <c r="IME44" s="292"/>
      <c r="IMF44" s="292"/>
      <c r="IMG44" s="291"/>
      <c r="IMH44" s="292"/>
      <c r="IMI44" s="292"/>
      <c r="IMJ44" s="292"/>
      <c r="IMK44" s="291"/>
      <c r="IML44" s="292"/>
      <c r="IMM44" s="292"/>
      <c r="IMN44" s="292"/>
      <c r="IMO44" s="291"/>
      <c r="IMP44" s="292"/>
      <c r="IMQ44" s="292"/>
      <c r="IMR44" s="292"/>
      <c r="IMS44" s="291"/>
      <c r="IMT44" s="292"/>
      <c r="IMU44" s="292"/>
      <c r="IMV44" s="292"/>
      <c r="IMW44" s="291"/>
      <c r="IMX44" s="292"/>
      <c r="IMY44" s="292"/>
      <c r="IMZ44" s="292"/>
      <c r="INA44" s="291"/>
      <c r="INB44" s="292"/>
      <c r="INC44" s="292"/>
      <c r="IND44" s="292"/>
      <c r="INE44" s="291"/>
      <c r="INF44" s="292"/>
      <c r="ING44" s="292"/>
      <c r="INH44" s="292"/>
      <c r="INI44" s="291"/>
      <c r="INJ44" s="292"/>
      <c r="INK44" s="292"/>
      <c r="INL44" s="292"/>
      <c r="INM44" s="291"/>
      <c r="INN44" s="292"/>
      <c r="INO44" s="292"/>
      <c r="INP44" s="292"/>
      <c r="INQ44" s="291"/>
      <c r="INR44" s="292"/>
      <c r="INS44" s="292"/>
      <c r="INT44" s="292"/>
      <c r="INU44" s="291"/>
      <c r="INV44" s="292"/>
      <c r="INW44" s="292"/>
      <c r="INX44" s="292"/>
      <c r="INY44" s="291"/>
      <c r="INZ44" s="292"/>
      <c r="IOA44" s="292"/>
      <c r="IOB44" s="292"/>
      <c r="IOC44" s="291"/>
      <c r="IOD44" s="292"/>
      <c r="IOE44" s="292"/>
      <c r="IOF44" s="292"/>
      <c r="IOG44" s="291"/>
      <c r="IOH44" s="292"/>
      <c r="IOI44" s="292"/>
      <c r="IOJ44" s="292"/>
      <c r="IOK44" s="291"/>
      <c r="IOL44" s="292"/>
      <c r="IOM44" s="292"/>
      <c r="ION44" s="292"/>
      <c r="IOO44" s="291"/>
      <c r="IOP44" s="292"/>
      <c r="IOQ44" s="292"/>
      <c r="IOR44" s="292"/>
      <c r="IOS44" s="291"/>
      <c r="IOT44" s="292"/>
      <c r="IOU44" s="292"/>
      <c r="IOV44" s="292"/>
      <c r="IOW44" s="291"/>
      <c r="IOX44" s="292"/>
      <c r="IOY44" s="292"/>
      <c r="IOZ44" s="292"/>
      <c r="IPA44" s="291"/>
      <c r="IPB44" s="292"/>
      <c r="IPC44" s="292"/>
      <c r="IPD44" s="292"/>
      <c r="IPE44" s="291"/>
      <c r="IPF44" s="292"/>
      <c r="IPG44" s="292"/>
      <c r="IPH44" s="292"/>
      <c r="IPI44" s="291"/>
      <c r="IPJ44" s="292"/>
      <c r="IPK44" s="292"/>
      <c r="IPL44" s="292"/>
      <c r="IPM44" s="291"/>
      <c r="IPN44" s="292"/>
      <c r="IPO44" s="292"/>
      <c r="IPP44" s="292"/>
      <c r="IPQ44" s="291"/>
      <c r="IPR44" s="292"/>
      <c r="IPS44" s="292"/>
      <c r="IPT44" s="292"/>
      <c r="IPU44" s="291"/>
      <c r="IPV44" s="292"/>
      <c r="IPW44" s="292"/>
      <c r="IPX44" s="292"/>
      <c r="IPY44" s="291"/>
      <c r="IPZ44" s="292"/>
      <c r="IQA44" s="292"/>
      <c r="IQB44" s="292"/>
      <c r="IQC44" s="291"/>
      <c r="IQD44" s="292"/>
      <c r="IQE44" s="292"/>
      <c r="IQF44" s="292"/>
      <c r="IQG44" s="291"/>
      <c r="IQH44" s="292"/>
      <c r="IQI44" s="292"/>
      <c r="IQJ44" s="292"/>
      <c r="IQK44" s="291"/>
      <c r="IQL44" s="292"/>
      <c r="IQM44" s="292"/>
      <c r="IQN44" s="292"/>
      <c r="IQO44" s="291"/>
      <c r="IQP44" s="292"/>
      <c r="IQQ44" s="292"/>
      <c r="IQR44" s="292"/>
      <c r="IQS44" s="291"/>
      <c r="IQT44" s="292"/>
      <c r="IQU44" s="292"/>
      <c r="IQV44" s="292"/>
      <c r="IQW44" s="291"/>
      <c r="IQX44" s="292"/>
      <c r="IQY44" s="292"/>
      <c r="IQZ44" s="292"/>
      <c r="IRA44" s="291"/>
      <c r="IRB44" s="292"/>
      <c r="IRC44" s="292"/>
      <c r="IRD44" s="292"/>
      <c r="IRE44" s="291"/>
      <c r="IRF44" s="292"/>
      <c r="IRG44" s="292"/>
      <c r="IRH44" s="292"/>
      <c r="IRI44" s="291"/>
      <c r="IRJ44" s="292"/>
      <c r="IRK44" s="292"/>
      <c r="IRL44" s="292"/>
      <c r="IRM44" s="291"/>
      <c r="IRN44" s="292"/>
      <c r="IRO44" s="292"/>
      <c r="IRP44" s="292"/>
      <c r="IRQ44" s="291"/>
      <c r="IRR44" s="292"/>
      <c r="IRS44" s="292"/>
      <c r="IRT44" s="292"/>
      <c r="IRU44" s="291"/>
      <c r="IRV44" s="292"/>
      <c r="IRW44" s="292"/>
      <c r="IRX44" s="292"/>
      <c r="IRY44" s="291"/>
      <c r="IRZ44" s="292"/>
      <c r="ISA44" s="292"/>
      <c r="ISB44" s="292"/>
      <c r="ISC44" s="291"/>
      <c r="ISD44" s="292"/>
      <c r="ISE44" s="292"/>
      <c r="ISF44" s="292"/>
      <c r="ISG44" s="291"/>
      <c r="ISH44" s="292"/>
      <c r="ISI44" s="292"/>
      <c r="ISJ44" s="292"/>
      <c r="ISK44" s="291"/>
      <c r="ISL44" s="292"/>
      <c r="ISM44" s="292"/>
      <c r="ISN44" s="292"/>
      <c r="ISO44" s="291"/>
      <c r="ISP44" s="292"/>
      <c r="ISQ44" s="292"/>
      <c r="ISR44" s="292"/>
      <c r="ISS44" s="291"/>
      <c r="IST44" s="292"/>
      <c r="ISU44" s="292"/>
      <c r="ISV44" s="292"/>
      <c r="ISW44" s="291"/>
      <c r="ISX44" s="292"/>
      <c r="ISY44" s="292"/>
      <c r="ISZ44" s="292"/>
      <c r="ITA44" s="291"/>
      <c r="ITB44" s="292"/>
      <c r="ITC44" s="292"/>
      <c r="ITD44" s="292"/>
      <c r="ITE44" s="291"/>
      <c r="ITF44" s="292"/>
      <c r="ITG44" s="292"/>
      <c r="ITH44" s="292"/>
      <c r="ITI44" s="291"/>
      <c r="ITJ44" s="292"/>
      <c r="ITK44" s="292"/>
      <c r="ITL44" s="292"/>
      <c r="ITM44" s="291"/>
      <c r="ITN44" s="292"/>
      <c r="ITO44" s="292"/>
      <c r="ITP44" s="292"/>
      <c r="ITQ44" s="291"/>
      <c r="ITR44" s="292"/>
      <c r="ITS44" s="292"/>
      <c r="ITT44" s="292"/>
      <c r="ITU44" s="291"/>
      <c r="ITV44" s="292"/>
      <c r="ITW44" s="292"/>
      <c r="ITX44" s="292"/>
      <c r="ITY44" s="291"/>
      <c r="ITZ44" s="292"/>
      <c r="IUA44" s="292"/>
      <c r="IUB44" s="292"/>
      <c r="IUC44" s="291"/>
      <c r="IUD44" s="292"/>
      <c r="IUE44" s="292"/>
      <c r="IUF44" s="292"/>
      <c r="IUG44" s="291"/>
      <c r="IUH44" s="292"/>
      <c r="IUI44" s="292"/>
      <c r="IUJ44" s="292"/>
      <c r="IUK44" s="291"/>
      <c r="IUL44" s="292"/>
      <c r="IUM44" s="292"/>
      <c r="IUN44" s="292"/>
      <c r="IUO44" s="291"/>
      <c r="IUP44" s="292"/>
      <c r="IUQ44" s="292"/>
      <c r="IUR44" s="292"/>
      <c r="IUS44" s="291"/>
      <c r="IUT44" s="292"/>
      <c r="IUU44" s="292"/>
      <c r="IUV44" s="292"/>
      <c r="IUW44" s="291"/>
      <c r="IUX44" s="292"/>
      <c r="IUY44" s="292"/>
      <c r="IUZ44" s="292"/>
      <c r="IVA44" s="291"/>
      <c r="IVB44" s="292"/>
      <c r="IVC44" s="292"/>
      <c r="IVD44" s="292"/>
      <c r="IVE44" s="291"/>
      <c r="IVF44" s="292"/>
      <c r="IVG44" s="292"/>
      <c r="IVH44" s="292"/>
      <c r="IVI44" s="291"/>
      <c r="IVJ44" s="292"/>
      <c r="IVK44" s="292"/>
      <c r="IVL44" s="292"/>
      <c r="IVM44" s="291"/>
      <c r="IVN44" s="292"/>
      <c r="IVO44" s="292"/>
      <c r="IVP44" s="292"/>
      <c r="IVQ44" s="291"/>
      <c r="IVR44" s="292"/>
      <c r="IVS44" s="292"/>
      <c r="IVT44" s="292"/>
      <c r="IVU44" s="291"/>
      <c r="IVV44" s="292"/>
      <c r="IVW44" s="292"/>
      <c r="IVX44" s="292"/>
      <c r="IVY44" s="291"/>
      <c r="IVZ44" s="292"/>
      <c r="IWA44" s="292"/>
      <c r="IWB44" s="292"/>
      <c r="IWC44" s="291"/>
      <c r="IWD44" s="292"/>
      <c r="IWE44" s="292"/>
      <c r="IWF44" s="292"/>
      <c r="IWG44" s="291"/>
      <c r="IWH44" s="292"/>
      <c r="IWI44" s="292"/>
      <c r="IWJ44" s="292"/>
      <c r="IWK44" s="291"/>
      <c r="IWL44" s="292"/>
      <c r="IWM44" s="292"/>
      <c r="IWN44" s="292"/>
      <c r="IWO44" s="291"/>
      <c r="IWP44" s="292"/>
      <c r="IWQ44" s="292"/>
      <c r="IWR44" s="292"/>
      <c r="IWS44" s="291"/>
      <c r="IWT44" s="292"/>
      <c r="IWU44" s="292"/>
      <c r="IWV44" s="292"/>
      <c r="IWW44" s="291"/>
      <c r="IWX44" s="292"/>
      <c r="IWY44" s="292"/>
      <c r="IWZ44" s="292"/>
      <c r="IXA44" s="291"/>
      <c r="IXB44" s="292"/>
      <c r="IXC44" s="292"/>
      <c r="IXD44" s="292"/>
      <c r="IXE44" s="291"/>
      <c r="IXF44" s="292"/>
      <c r="IXG44" s="292"/>
      <c r="IXH44" s="292"/>
      <c r="IXI44" s="291"/>
      <c r="IXJ44" s="292"/>
      <c r="IXK44" s="292"/>
      <c r="IXL44" s="292"/>
      <c r="IXM44" s="291"/>
      <c r="IXN44" s="292"/>
      <c r="IXO44" s="292"/>
      <c r="IXP44" s="292"/>
      <c r="IXQ44" s="291"/>
      <c r="IXR44" s="292"/>
      <c r="IXS44" s="292"/>
      <c r="IXT44" s="292"/>
      <c r="IXU44" s="291"/>
      <c r="IXV44" s="292"/>
      <c r="IXW44" s="292"/>
      <c r="IXX44" s="292"/>
      <c r="IXY44" s="291"/>
      <c r="IXZ44" s="292"/>
      <c r="IYA44" s="292"/>
      <c r="IYB44" s="292"/>
      <c r="IYC44" s="291"/>
      <c r="IYD44" s="292"/>
      <c r="IYE44" s="292"/>
      <c r="IYF44" s="292"/>
      <c r="IYG44" s="291"/>
      <c r="IYH44" s="292"/>
      <c r="IYI44" s="292"/>
      <c r="IYJ44" s="292"/>
      <c r="IYK44" s="291"/>
      <c r="IYL44" s="292"/>
      <c r="IYM44" s="292"/>
      <c r="IYN44" s="292"/>
      <c r="IYO44" s="291"/>
      <c r="IYP44" s="292"/>
      <c r="IYQ44" s="292"/>
      <c r="IYR44" s="292"/>
      <c r="IYS44" s="291"/>
      <c r="IYT44" s="292"/>
      <c r="IYU44" s="292"/>
      <c r="IYV44" s="292"/>
      <c r="IYW44" s="291"/>
      <c r="IYX44" s="292"/>
      <c r="IYY44" s="292"/>
      <c r="IYZ44" s="292"/>
      <c r="IZA44" s="291"/>
      <c r="IZB44" s="292"/>
      <c r="IZC44" s="292"/>
      <c r="IZD44" s="292"/>
      <c r="IZE44" s="291"/>
      <c r="IZF44" s="292"/>
      <c r="IZG44" s="292"/>
      <c r="IZH44" s="292"/>
      <c r="IZI44" s="291"/>
      <c r="IZJ44" s="292"/>
      <c r="IZK44" s="292"/>
      <c r="IZL44" s="292"/>
      <c r="IZM44" s="291"/>
      <c r="IZN44" s="292"/>
      <c r="IZO44" s="292"/>
      <c r="IZP44" s="292"/>
      <c r="IZQ44" s="291"/>
      <c r="IZR44" s="292"/>
      <c r="IZS44" s="292"/>
      <c r="IZT44" s="292"/>
      <c r="IZU44" s="291"/>
      <c r="IZV44" s="292"/>
      <c r="IZW44" s="292"/>
      <c r="IZX44" s="292"/>
      <c r="IZY44" s="291"/>
      <c r="IZZ44" s="292"/>
      <c r="JAA44" s="292"/>
      <c r="JAB44" s="292"/>
      <c r="JAC44" s="291"/>
      <c r="JAD44" s="292"/>
      <c r="JAE44" s="292"/>
      <c r="JAF44" s="292"/>
      <c r="JAG44" s="291"/>
      <c r="JAH44" s="292"/>
      <c r="JAI44" s="292"/>
      <c r="JAJ44" s="292"/>
      <c r="JAK44" s="291"/>
      <c r="JAL44" s="292"/>
      <c r="JAM44" s="292"/>
      <c r="JAN44" s="292"/>
      <c r="JAO44" s="291"/>
      <c r="JAP44" s="292"/>
      <c r="JAQ44" s="292"/>
      <c r="JAR44" s="292"/>
      <c r="JAS44" s="291"/>
      <c r="JAT44" s="292"/>
      <c r="JAU44" s="292"/>
      <c r="JAV44" s="292"/>
      <c r="JAW44" s="291"/>
      <c r="JAX44" s="292"/>
      <c r="JAY44" s="292"/>
      <c r="JAZ44" s="292"/>
      <c r="JBA44" s="291"/>
      <c r="JBB44" s="292"/>
      <c r="JBC44" s="292"/>
      <c r="JBD44" s="292"/>
      <c r="JBE44" s="291"/>
      <c r="JBF44" s="292"/>
      <c r="JBG44" s="292"/>
      <c r="JBH44" s="292"/>
      <c r="JBI44" s="291"/>
      <c r="JBJ44" s="292"/>
      <c r="JBK44" s="292"/>
      <c r="JBL44" s="292"/>
      <c r="JBM44" s="291"/>
      <c r="JBN44" s="292"/>
      <c r="JBO44" s="292"/>
      <c r="JBP44" s="292"/>
      <c r="JBQ44" s="291"/>
      <c r="JBR44" s="292"/>
      <c r="JBS44" s="292"/>
      <c r="JBT44" s="292"/>
      <c r="JBU44" s="291"/>
      <c r="JBV44" s="292"/>
      <c r="JBW44" s="292"/>
      <c r="JBX44" s="292"/>
      <c r="JBY44" s="291"/>
      <c r="JBZ44" s="292"/>
      <c r="JCA44" s="292"/>
      <c r="JCB44" s="292"/>
      <c r="JCC44" s="291"/>
      <c r="JCD44" s="292"/>
      <c r="JCE44" s="292"/>
      <c r="JCF44" s="292"/>
      <c r="JCG44" s="291"/>
      <c r="JCH44" s="292"/>
      <c r="JCI44" s="292"/>
      <c r="JCJ44" s="292"/>
      <c r="JCK44" s="291"/>
      <c r="JCL44" s="292"/>
      <c r="JCM44" s="292"/>
      <c r="JCN44" s="292"/>
      <c r="JCO44" s="291"/>
      <c r="JCP44" s="292"/>
      <c r="JCQ44" s="292"/>
      <c r="JCR44" s="292"/>
      <c r="JCS44" s="291"/>
      <c r="JCT44" s="292"/>
      <c r="JCU44" s="292"/>
      <c r="JCV44" s="292"/>
      <c r="JCW44" s="291"/>
      <c r="JCX44" s="292"/>
      <c r="JCY44" s="292"/>
      <c r="JCZ44" s="292"/>
      <c r="JDA44" s="291"/>
      <c r="JDB44" s="292"/>
      <c r="JDC44" s="292"/>
      <c r="JDD44" s="292"/>
      <c r="JDE44" s="291"/>
      <c r="JDF44" s="292"/>
      <c r="JDG44" s="292"/>
      <c r="JDH44" s="292"/>
      <c r="JDI44" s="291"/>
      <c r="JDJ44" s="292"/>
      <c r="JDK44" s="292"/>
      <c r="JDL44" s="292"/>
      <c r="JDM44" s="291"/>
      <c r="JDN44" s="292"/>
      <c r="JDO44" s="292"/>
      <c r="JDP44" s="292"/>
      <c r="JDQ44" s="291"/>
      <c r="JDR44" s="292"/>
      <c r="JDS44" s="292"/>
      <c r="JDT44" s="292"/>
      <c r="JDU44" s="291"/>
      <c r="JDV44" s="292"/>
      <c r="JDW44" s="292"/>
      <c r="JDX44" s="292"/>
      <c r="JDY44" s="291"/>
      <c r="JDZ44" s="292"/>
      <c r="JEA44" s="292"/>
      <c r="JEB44" s="292"/>
      <c r="JEC44" s="291"/>
      <c r="JED44" s="292"/>
      <c r="JEE44" s="292"/>
      <c r="JEF44" s="292"/>
      <c r="JEG44" s="291"/>
      <c r="JEH44" s="292"/>
      <c r="JEI44" s="292"/>
      <c r="JEJ44" s="292"/>
      <c r="JEK44" s="291"/>
      <c r="JEL44" s="292"/>
      <c r="JEM44" s="292"/>
      <c r="JEN44" s="292"/>
      <c r="JEO44" s="291"/>
      <c r="JEP44" s="292"/>
      <c r="JEQ44" s="292"/>
      <c r="JER44" s="292"/>
      <c r="JES44" s="291"/>
      <c r="JET44" s="292"/>
      <c r="JEU44" s="292"/>
      <c r="JEV44" s="292"/>
      <c r="JEW44" s="291"/>
      <c r="JEX44" s="292"/>
      <c r="JEY44" s="292"/>
      <c r="JEZ44" s="292"/>
      <c r="JFA44" s="291"/>
      <c r="JFB44" s="292"/>
      <c r="JFC44" s="292"/>
      <c r="JFD44" s="292"/>
      <c r="JFE44" s="291"/>
      <c r="JFF44" s="292"/>
      <c r="JFG44" s="292"/>
      <c r="JFH44" s="292"/>
      <c r="JFI44" s="291"/>
      <c r="JFJ44" s="292"/>
      <c r="JFK44" s="292"/>
      <c r="JFL44" s="292"/>
      <c r="JFM44" s="291"/>
      <c r="JFN44" s="292"/>
      <c r="JFO44" s="292"/>
      <c r="JFP44" s="292"/>
      <c r="JFQ44" s="291"/>
      <c r="JFR44" s="292"/>
      <c r="JFS44" s="292"/>
      <c r="JFT44" s="292"/>
      <c r="JFU44" s="291"/>
      <c r="JFV44" s="292"/>
      <c r="JFW44" s="292"/>
      <c r="JFX44" s="292"/>
      <c r="JFY44" s="291"/>
      <c r="JFZ44" s="292"/>
      <c r="JGA44" s="292"/>
      <c r="JGB44" s="292"/>
      <c r="JGC44" s="291"/>
      <c r="JGD44" s="292"/>
      <c r="JGE44" s="292"/>
      <c r="JGF44" s="292"/>
      <c r="JGG44" s="291"/>
      <c r="JGH44" s="292"/>
      <c r="JGI44" s="292"/>
      <c r="JGJ44" s="292"/>
      <c r="JGK44" s="291"/>
      <c r="JGL44" s="292"/>
      <c r="JGM44" s="292"/>
      <c r="JGN44" s="292"/>
      <c r="JGO44" s="291"/>
      <c r="JGP44" s="292"/>
      <c r="JGQ44" s="292"/>
      <c r="JGR44" s="292"/>
      <c r="JGS44" s="291"/>
      <c r="JGT44" s="292"/>
      <c r="JGU44" s="292"/>
      <c r="JGV44" s="292"/>
      <c r="JGW44" s="291"/>
      <c r="JGX44" s="292"/>
      <c r="JGY44" s="292"/>
      <c r="JGZ44" s="292"/>
      <c r="JHA44" s="291"/>
      <c r="JHB44" s="292"/>
      <c r="JHC44" s="292"/>
      <c r="JHD44" s="292"/>
      <c r="JHE44" s="291"/>
      <c r="JHF44" s="292"/>
      <c r="JHG44" s="292"/>
      <c r="JHH44" s="292"/>
      <c r="JHI44" s="291"/>
      <c r="JHJ44" s="292"/>
      <c r="JHK44" s="292"/>
      <c r="JHL44" s="292"/>
      <c r="JHM44" s="291"/>
      <c r="JHN44" s="292"/>
      <c r="JHO44" s="292"/>
      <c r="JHP44" s="292"/>
      <c r="JHQ44" s="291"/>
      <c r="JHR44" s="292"/>
      <c r="JHS44" s="292"/>
      <c r="JHT44" s="292"/>
      <c r="JHU44" s="291"/>
      <c r="JHV44" s="292"/>
      <c r="JHW44" s="292"/>
      <c r="JHX44" s="292"/>
      <c r="JHY44" s="291"/>
      <c r="JHZ44" s="292"/>
      <c r="JIA44" s="292"/>
      <c r="JIB44" s="292"/>
      <c r="JIC44" s="291"/>
      <c r="JID44" s="292"/>
      <c r="JIE44" s="292"/>
      <c r="JIF44" s="292"/>
      <c r="JIG44" s="291"/>
      <c r="JIH44" s="292"/>
      <c r="JII44" s="292"/>
      <c r="JIJ44" s="292"/>
      <c r="JIK44" s="291"/>
      <c r="JIL44" s="292"/>
      <c r="JIM44" s="292"/>
      <c r="JIN44" s="292"/>
      <c r="JIO44" s="291"/>
      <c r="JIP44" s="292"/>
      <c r="JIQ44" s="292"/>
      <c r="JIR44" s="292"/>
      <c r="JIS44" s="291"/>
      <c r="JIT44" s="292"/>
      <c r="JIU44" s="292"/>
      <c r="JIV44" s="292"/>
      <c r="JIW44" s="291"/>
      <c r="JIX44" s="292"/>
      <c r="JIY44" s="292"/>
      <c r="JIZ44" s="292"/>
      <c r="JJA44" s="291"/>
      <c r="JJB44" s="292"/>
      <c r="JJC44" s="292"/>
      <c r="JJD44" s="292"/>
      <c r="JJE44" s="291"/>
      <c r="JJF44" s="292"/>
      <c r="JJG44" s="292"/>
      <c r="JJH44" s="292"/>
      <c r="JJI44" s="291"/>
      <c r="JJJ44" s="292"/>
      <c r="JJK44" s="292"/>
      <c r="JJL44" s="292"/>
      <c r="JJM44" s="291"/>
      <c r="JJN44" s="292"/>
      <c r="JJO44" s="292"/>
      <c r="JJP44" s="292"/>
      <c r="JJQ44" s="291"/>
      <c r="JJR44" s="292"/>
      <c r="JJS44" s="292"/>
      <c r="JJT44" s="292"/>
      <c r="JJU44" s="291"/>
      <c r="JJV44" s="292"/>
      <c r="JJW44" s="292"/>
      <c r="JJX44" s="292"/>
      <c r="JJY44" s="291"/>
      <c r="JJZ44" s="292"/>
      <c r="JKA44" s="292"/>
      <c r="JKB44" s="292"/>
      <c r="JKC44" s="291"/>
      <c r="JKD44" s="292"/>
      <c r="JKE44" s="292"/>
      <c r="JKF44" s="292"/>
      <c r="JKG44" s="291"/>
      <c r="JKH44" s="292"/>
      <c r="JKI44" s="292"/>
      <c r="JKJ44" s="292"/>
      <c r="JKK44" s="291"/>
      <c r="JKL44" s="292"/>
      <c r="JKM44" s="292"/>
      <c r="JKN44" s="292"/>
      <c r="JKO44" s="291"/>
      <c r="JKP44" s="292"/>
      <c r="JKQ44" s="292"/>
      <c r="JKR44" s="292"/>
      <c r="JKS44" s="291"/>
      <c r="JKT44" s="292"/>
      <c r="JKU44" s="292"/>
      <c r="JKV44" s="292"/>
      <c r="JKW44" s="291"/>
      <c r="JKX44" s="292"/>
      <c r="JKY44" s="292"/>
      <c r="JKZ44" s="292"/>
      <c r="JLA44" s="291"/>
      <c r="JLB44" s="292"/>
      <c r="JLC44" s="292"/>
      <c r="JLD44" s="292"/>
      <c r="JLE44" s="291"/>
      <c r="JLF44" s="292"/>
      <c r="JLG44" s="292"/>
      <c r="JLH44" s="292"/>
      <c r="JLI44" s="291"/>
      <c r="JLJ44" s="292"/>
      <c r="JLK44" s="292"/>
      <c r="JLL44" s="292"/>
      <c r="JLM44" s="291"/>
      <c r="JLN44" s="292"/>
      <c r="JLO44" s="292"/>
      <c r="JLP44" s="292"/>
      <c r="JLQ44" s="291"/>
      <c r="JLR44" s="292"/>
      <c r="JLS44" s="292"/>
      <c r="JLT44" s="292"/>
      <c r="JLU44" s="291"/>
      <c r="JLV44" s="292"/>
      <c r="JLW44" s="292"/>
      <c r="JLX44" s="292"/>
      <c r="JLY44" s="291"/>
      <c r="JLZ44" s="292"/>
      <c r="JMA44" s="292"/>
      <c r="JMB44" s="292"/>
      <c r="JMC44" s="291"/>
      <c r="JMD44" s="292"/>
      <c r="JME44" s="292"/>
      <c r="JMF44" s="292"/>
      <c r="JMG44" s="291"/>
      <c r="JMH44" s="292"/>
      <c r="JMI44" s="292"/>
      <c r="JMJ44" s="292"/>
      <c r="JMK44" s="291"/>
      <c r="JML44" s="292"/>
      <c r="JMM44" s="292"/>
      <c r="JMN44" s="292"/>
      <c r="JMO44" s="291"/>
      <c r="JMP44" s="292"/>
      <c r="JMQ44" s="292"/>
      <c r="JMR44" s="292"/>
      <c r="JMS44" s="291"/>
      <c r="JMT44" s="292"/>
      <c r="JMU44" s="292"/>
      <c r="JMV44" s="292"/>
      <c r="JMW44" s="291"/>
      <c r="JMX44" s="292"/>
      <c r="JMY44" s="292"/>
      <c r="JMZ44" s="292"/>
      <c r="JNA44" s="291"/>
      <c r="JNB44" s="292"/>
      <c r="JNC44" s="292"/>
      <c r="JND44" s="292"/>
      <c r="JNE44" s="291"/>
      <c r="JNF44" s="292"/>
      <c r="JNG44" s="292"/>
      <c r="JNH44" s="292"/>
      <c r="JNI44" s="291"/>
      <c r="JNJ44" s="292"/>
      <c r="JNK44" s="292"/>
      <c r="JNL44" s="292"/>
      <c r="JNM44" s="291"/>
      <c r="JNN44" s="292"/>
      <c r="JNO44" s="292"/>
      <c r="JNP44" s="292"/>
      <c r="JNQ44" s="291"/>
      <c r="JNR44" s="292"/>
      <c r="JNS44" s="292"/>
      <c r="JNT44" s="292"/>
      <c r="JNU44" s="291"/>
      <c r="JNV44" s="292"/>
      <c r="JNW44" s="292"/>
      <c r="JNX44" s="292"/>
      <c r="JNY44" s="291"/>
      <c r="JNZ44" s="292"/>
      <c r="JOA44" s="292"/>
      <c r="JOB44" s="292"/>
      <c r="JOC44" s="291"/>
      <c r="JOD44" s="292"/>
      <c r="JOE44" s="292"/>
      <c r="JOF44" s="292"/>
      <c r="JOG44" s="291"/>
      <c r="JOH44" s="292"/>
      <c r="JOI44" s="292"/>
      <c r="JOJ44" s="292"/>
      <c r="JOK44" s="291"/>
      <c r="JOL44" s="292"/>
      <c r="JOM44" s="292"/>
      <c r="JON44" s="292"/>
      <c r="JOO44" s="291"/>
      <c r="JOP44" s="292"/>
      <c r="JOQ44" s="292"/>
      <c r="JOR44" s="292"/>
      <c r="JOS44" s="291"/>
      <c r="JOT44" s="292"/>
      <c r="JOU44" s="292"/>
      <c r="JOV44" s="292"/>
      <c r="JOW44" s="291"/>
      <c r="JOX44" s="292"/>
      <c r="JOY44" s="292"/>
      <c r="JOZ44" s="292"/>
      <c r="JPA44" s="291"/>
      <c r="JPB44" s="292"/>
      <c r="JPC44" s="292"/>
      <c r="JPD44" s="292"/>
      <c r="JPE44" s="291"/>
      <c r="JPF44" s="292"/>
      <c r="JPG44" s="292"/>
      <c r="JPH44" s="292"/>
      <c r="JPI44" s="291"/>
      <c r="JPJ44" s="292"/>
      <c r="JPK44" s="292"/>
      <c r="JPL44" s="292"/>
      <c r="JPM44" s="291"/>
      <c r="JPN44" s="292"/>
      <c r="JPO44" s="292"/>
      <c r="JPP44" s="292"/>
      <c r="JPQ44" s="291"/>
      <c r="JPR44" s="292"/>
      <c r="JPS44" s="292"/>
      <c r="JPT44" s="292"/>
      <c r="JPU44" s="291"/>
      <c r="JPV44" s="292"/>
      <c r="JPW44" s="292"/>
      <c r="JPX44" s="292"/>
      <c r="JPY44" s="291"/>
      <c r="JPZ44" s="292"/>
      <c r="JQA44" s="292"/>
      <c r="JQB44" s="292"/>
      <c r="JQC44" s="291"/>
      <c r="JQD44" s="292"/>
      <c r="JQE44" s="292"/>
      <c r="JQF44" s="292"/>
      <c r="JQG44" s="291"/>
      <c r="JQH44" s="292"/>
      <c r="JQI44" s="292"/>
      <c r="JQJ44" s="292"/>
      <c r="JQK44" s="291"/>
      <c r="JQL44" s="292"/>
      <c r="JQM44" s="292"/>
      <c r="JQN44" s="292"/>
      <c r="JQO44" s="291"/>
      <c r="JQP44" s="292"/>
      <c r="JQQ44" s="292"/>
      <c r="JQR44" s="292"/>
      <c r="JQS44" s="291"/>
      <c r="JQT44" s="292"/>
      <c r="JQU44" s="292"/>
      <c r="JQV44" s="292"/>
      <c r="JQW44" s="291"/>
      <c r="JQX44" s="292"/>
      <c r="JQY44" s="292"/>
      <c r="JQZ44" s="292"/>
      <c r="JRA44" s="291"/>
      <c r="JRB44" s="292"/>
      <c r="JRC44" s="292"/>
      <c r="JRD44" s="292"/>
      <c r="JRE44" s="291"/>
      <c r="JRF44" s="292"/>
      <c r="JRG44" s="292"/>
      <c r="JRH44" s="292"/>
      <c r="JRI44" s="291"/>
      <c r="JRJ44" s="292"/>
      <c r="JRK44" s="292"/>
      <c r="JRL44" s="292"/>
      <c r="JRM44" s="291"/>
      <c r="JRN44" s="292"/>
      <c r="JRO44" s="292"/>
      <c r="JRP44" s="292"/>
      <c r="JRQ44" s="291"/>
      <c r="JRR44" s="292"/>
      <c r="JRS44" s="292"/>
      <c r="JRT44" s="292"/>
      <c r="JRU44" s="291"/>
      <c r="JRV44" s="292"/>
      <c r="JRW44" s="292"/>
      <c r="JRX44" s="292"/>
      <c r="JRY44" s="291"/>
      <c r="JRZ44" s="292"/>
      <c r="JSA44" s="292"/>
      <c r="JSB44" s="292"/>
      <c r="JSC44" s="291"/>
      <c r="JSD44" s="292"/>
      <c r="JSE44" s="292"/>
      <c r="JSF44" s="292"/>
      <c r="JSG44" s="291"/>
      <c r="JSH44" s="292"/>
      <c r="JSI44" s="292"/>
      <c r="JSJ44" s="292"/>
      <c r="JSK44" s="291"/>
      <c r="JSL44" s="292"/>
      <c r="JSM44" s="292"/>
      <c r="JSN44" s="292"/>
      <c r="JSO44" s="291"/>
      <c r="JSP44" s="292"/>
      <c r="JSQ44" s="292"/>
      <c r="JSR44" s="292"/>
      <c r="JSS44" s="291"/>
      <c r="JST44" s="292"/>
      <c r="JSU44" s="292"/>
      <c r="JSV44" s="292"/>
      <c r="JSW44" s="291"/>
      <c r="JSX44" s="292"/>
      <c r="JSY44" s="292"/>
      <c r="JSZ44" s="292"/>
      <c r="JTA44" s="291"/>
      <c r="JTB44" s="292"/>
      <c r="JTC44" s="292"/>
      <c r="JTD44" s="292"/>
      <c r="JTE44" s="291"/>
      <c r="JTF44" s="292"/>
      <c r="JTG44" s="292"/>
      <c r="JTH44" s="292"/>
      <c r="JTI44" s="291"/>
      <c r="JTJ44" s="292"/>
      <c r="JTK44" s="292"/>
      <c r="JTL44" s="292"/>
      <c r="JTM44" s="291"/>
      <c r="JTN44" s="292"/>
      <c r="JTO44" s="292"/>
      <c r="JTP44" s="292"/>
      <c r="JTQ44" s="291"/>
      <c r="JTR44" s="292"/>
      <c r="JTS44" s="292"/>
      <c r="JTT44" s="292"/>
      <c r="JTU44" s="291"/>
      <c r="JTV44" s="292"/>
      <c r="JTW44" s="292"/>
      <c r="JTX44" s="292"/>
      <c r="JTY44" s="291"/>
      <c r="JTZ44" s="292"/>
      <c r="JUA44" s="292"/>
      <c r="JUB44" s="292"/>
      <c r="JUC44" s="291"/>
      <c r="JUD44" s="292"/>
      <c r="JUE44" s="292"/>
      <c r="JUF44" s="292"/>
      <c r="JUG44" s="291"/>
      <c r="JUH44" s="292"/>
      <c r="JUI44" s="292"/>
      <c r="JUJ44" s="292"/>
      <c r="JUK44" s="291"/>
      <c r="JUL44" s="292"/>
      <c r="JUM44" s="292"/>
      <c r="JUN44" s="292"/>
      <c r="JUO44" s="291"/>
      <c r="JUP44" s="292"/>
      <c r="JUQ44" s="292"/>
      <c r="JUR44" s="292"/>
      <c r="JUS44" s="291"/>
      <c r="JUT44" s="292"/>
      <c r="JUU44" s="292"/>
      <c r="JUV44" s="292"/>
      <c r="JUW44" s="291"/>
      <c r="JUX44" s="292"/>
      <c r="JUY44" s="292"/>
      <c r="JUZ44" s="292"/>
      <c r="JVA44" s="291"/>
      <c r="JVB44" s="292"/>
      <c r="JVC44" s="292"/>
      <c r="JVD44" s="292"/>
      <c r="JVE44" s="291"/>
      <c r="JVF44" s="292"/>
      <c r="JVG44" s="292"/>
      <c r="JVH44" s="292"/>
      <c r="JVI44" s="291"/>
      <c r="JVJ44" s="292"/>
      <c r="JVK44" s="292"/>
      <c r="JVL44" s="292"/>
      <c r="JVM44" s="291"/>
      <c r="JVN44" s="292"/>
      <c r="JVO44" s="292"/>
      <c r="JVP44" s="292"/>
      <c r="JVQ44" s="291"/>
      <c r="JVR44" s="292"/>
      <c r="JVS44" s="292"/>
      <c r="JVT44" s="292"/>
      <c r="JVU44" s="291"/>
      <c r="JVV44" s="292"/>
      <c r="JVW44" s="292"/>
      <c r="JVX44" s="292"/>
      <c r="JVY44" s="291"/>
      <c r="JVZ44" s="292"/>
      <c r="JWA44" s="292"/>
      <c r="JWB44" s="292"/>
      <c r="JWC44" s="291"/>
      <c r="JWD44" s="292"/>
      <c r="JWE44" s="292"/>
      <c r="JWF44" s="292"/>
      <c r="JWG44" s="291"/>
      <c r="JWH44" s="292"/>
      <c r="JWI44" s="292"/>
      <c r="JWJ44" s="292"/>
      <c r="JWK44" s="291"/>
      <c r="JWL44" s="292"/>
      <c r="JWM44" s="292"/>
      <c r="JWN44" s="292"/>
      <c r="JWO44" s="291"/>
      <c r="JWP44" s="292"/>
      <c r="JWQ44" s="292"/>
      <c r="JWR44" s="292"/>
      <c r="JWS44" s="291"/>
      <c r="JWT44" s="292"/>
      <c r="JWU44" s="292"/>
      <c r="JWV44" s="292"/>
      <c r="JWW44" s="291"/>
      <c r="JWX44" s="292"/>
      <c r="JWY44" s="292"/>
      <c r="JWZ44" s="292"/>
      <c r="JXA44" s="291"/>
      <c r="JXB44" s="292"/>
      <c r="JXC44" s="292"/>
      <c r="JXD44" s="292"/>
      <c r="JXE44" s="291"/>
      <c r="JXF44" s="292"/>
      <c r="JXG44" s="292"/>
      <c r="JXH44" s="292"/>
      <c r="JXI44" s="291"/>
      <c r="JXJ44" s="292"/>
      <c r="JXK44" s="292"/>
      <c r="JXL44" s="292"/>
      <c r="JXM44" s="291"/>
      <c r="JXN44" s="292"/>
      <c r="JXO44" s="292"/>
      <c r="JXP44" s="292"/>
      <c r="JXQ44" s="291"/>
      <c r="JXR44" s="292"/>
      <c r="JXS44" s="292"/>
      <c r="JXT44" s="292"/>
      <c r="JXU44" s="291"/>
      <c r="JXV44" s="292"/>
      <c r="JXW44" s="292"/>
      <c r="JXX44" s="292"/>
      <c r="JXY44" s="291"/>
      <c r="JXZ44" s="292"/>
      <c r="JYA44" s="292"/>
      <c r="JYB44" s="292"/>
      <c r="JYC44" s="291"/>
      <c r="JYD44" s="292"/>
      <c r="JYE44" s="292"/>
      <c r="JYF44" s="292"/>
      <c r="JYG44" s="291"/>
      <c r="JYH44" s="292"/>
      <c r="JYI44" s="292"/>
      <c r="JYJ44" s="292"/>
      <c r="JYK44" s="291"/>
      <c r="JYL44" s="292"/>
      <c r="JYM44" s="292"/>
      <c r="JYN44" s="292"/>
      <c r="JYO44" s="291"/>
      <c r="JYP44" s="292"/>
      <c r="JYQ44" s="292"/>
      <c r="JYR44" s="292"/>
      <c r="JYS44" s="291"/>
      <c r="JYT44" s="292"/>
      <c r="JYU44" s="292"/>
      <c r="JYV44" s="292"/>
      <c r="JYW44" s="291"/>
      <c r="JYX44" s="292"/>
      <c r="JYY44" s="292"/>
      <c r="JYZ44" s="292"/>
      <c r="JZA44" s="291"/>
      <c r="JZB44" s="292"/>
      <c r="JZC44" s="292"/>
      <c r="JZD44" s="292"/>
      <c r="JZE44" s="291"/>
      <c r="JZF44" s="292"/>
      <c r="JZG44" s="292"/>
      <c r="JZH44" s="292"/>
      <c r="JZI44" s="291"/>
      <c r="JZJ44" s="292"/>
      <c r="JZK44" s="292"/>
      <c r="JZL44" s="292"/>
      <c r="JZM44" s="291"/>
      <c r="JZN44" s="292"/>
      <c r="JZO44" s="292"/>
      <c r="JZP44" s="292"/>
      <c r="JZQ44" s="291"/>
      <c r="JZR44" s="292"/>
      <c r="JZS44" s="292"/>
      <c r="JZT44" s="292"/>
      <c r="JZU44" s="291"/>
      <c r="JZV44" s="292"/>
      <c r="JZW44" s="292"/>
      <c r="JZX44" s="292"/>
      <c r="JZY44" s="291"/>
      <c r="JZZ44" s="292"/>
      <c r="KAA44" s="292"/>
      <c r="KAB44" s="292"/>
      <c r="KAC44" s="291"/>
      <c r="KAD44" s="292"/>
      <c r="KAE44" s="292"/>
      <c r="KAF44" s="292"/>
      <c r="KAG44" s="291"/>
      <c r="KAH44" s="292"/>
      <c r="KAI44" s="292"/>
      <c r="KAJ44" s="292"/>
      <c r="KAK44" s="291"/>
      <c r="KAL44" s="292"/>
      <c r="KAM44" s="292"/>
      <c r="KAN44" s="292"/>
      <c r="KAO44" s="291"/>
      <c r="KAP44" s="292"/>
      <c r="KAQ44" s="292"/>
      <c r="KAR44" s="292"/>
      <c r="KAS44" s="291"/>
      <c r="KAT44" s="292"/>
      <c r="KAU44" s="292"/>
      <c r="KAV44" s="292"/>
      <c r="KAW44" s="291"/>
      <c r="KAX44" s="292"/>
      <c r="KAY44" s="292"/>
      <c r="KAZ44" s="292"/>
      <c r="KBA44" s="291"/>
      <c r="KBB44" s="292"/>
      <c r="KBC44" s="292"/>
      <c r="KBD44" s="292"/>
      <c r="KBE44" s="291"/>
      <c r="KBF44" s="292"/>
      <c r="KBG44" s="292"/>
      <c r="KBH44" s="292"/>
      <c r="KBI44" s="291"/>
      <c r="KBJ44" s="292"/>
      <c r="KBK44" s="292"/>
      <c r="KBL44" s="292"/>
      <c r="KBM44" s="291"/>
      <c r="KBN44" s="292"/>
      <c r="KBO44" s="292"/>
      <c r="KBP44" s="292"/>
      <c r="KBQ44" s="291"/>
      <c r="KBR44" s="292"/>
      <c r="KBS44" s="292"/>
      <c r="KBT44" s="292"/>
      <c r="KBU44" s="291"/>
      <c r="KBV44" s="292"/>
      <c r="KBW44" s="292"/>
      <c r="KBX44" s="292"/>
      <c r="KBY44" s="291"/>
      <c r="KBZ44" s="292"/>
      <c r="KCA44" s="292"/>
      <c r="KCB44" s="292"/>
      <c r="KCC44" s="291"/>
      <c r="KCD44" s="292"/>
      <c r="KCE44" s="292"/>
      <c r="KCF44" s="292"/>
      <c r="KCG44" s="291"/>
      <c r="KCH44" s="292"/>
      <c r="KCI44" s="292"/>
      <c r="KCJ44" s="292"/>
      <c r="KCK44" s="291"/>
      <c r="KCL44" s="292"/>
      <c r="KCM44" s="292"/>
      <c r="KCN44" s="292"/>
      <c r="KCO44" s="291"/>
      <c r="KCP44" s="292"/>
      <c r="KCQ44" s="292"/>
      <c r="KCR44" s="292"/>
      <c r="KCS44" s="291"/>
      <c r="KCT44" s="292"/>
      <c r="KCU44" s="292"/>
      <c r="KCV44" s="292"/>
      <c r="KCW44" s="291"/>
      <c r="KCX44" s="292"/>
      <c r="KCY44" s="292"/>
      <c r="KCZ44" s="292"/>
      <c r="KDA44" s="291"/>
      <c r="KDB44" s="292"/>
      <c r="KDC44" s="292"/>
      <c r="KDD44" s="292"/>
      <c r="KDE44" s="291"/>
      <c r="KDF44" s="292"/>
      <c r="KDG44" s="292"/>
      <c r="KDH44" s="292"/>
      <c r="KDI44" s="291"/>
      <c r="KDJ44" s="292"/>
      <c r="KDK44" s="292"/>
      <c r="KDL44" s="292"/>
      <c r="KDM44" s="291"/>
      <c r="KDN44" s="292"/>
      <c r="KDO44" s="292"/>
      <c r="KDP44" s="292"/>
      <c r="KDQ44" s="291"/>
      <c r="KDR44" s="292"/>
      <c r="KDS44" s="292"/>
      <c r="KDT44" s="292"/>
      <c r="KDU44" s="291"/>
      <c r="KDV44" s="292"/>
      <c r="KDW44" s="292"/>
      <c r="KDX44" s="292"/>
      <c r="KDY44" s="291"/>
      <c r="KDZ44" s="292"/>
      <c r="KEA44" s="292"/>
      <c r="KEB44" s="292"/>
      <c r="KEC44" s="291"/>
      <c r="KED44" s="292"/>
      <c r="KEE44" s="292"/>
      <c r="KEF44" s="292"/>
      <c r="KEG44" s="291"/>
      <c r="KEH44" s="292"/>
      <c r="KEI44" s="292"/>
      <c r="KEJ44" s="292"/>
      <c r="KEK44" s="291"/>
      <c r="KEL44" s="292"/>
      <c r="KEM44" s="292"/>
      <c r="KEN44" s="292"/>
      <c r="KEO44" s="291"/>
      <c r="KEP44" s="292"/>
      <c r="KEQ44" s="292"/>
      <c r="KER44" s="292"/>
      <c r="KES44" s="291"/>
      <c r="KET44" s="292"/>
      <c r="KEU44" s="292"/>
      <c r="KEV44" s="292"/>
      <c r="KEW44" s="291"/>
      <c r="KEX44" s="292"/>
      <c r="KEY44" s="292"/>
      <c r="KEZ44" s="292"/>
      <c r="KFA44" s="291"/>
      <c r="KFB44" s="292"/>
      <c r="KFC44" s="292"/>
      <c r="KFD44" s="292"/>
      <c r="KFE44" s="291"/>
      <c r="KFF44" s="292"/>
      <c r="KFG44" s="292"/>
      <c r="KFH44" s="292"/>
      <c r="KFI44" s="291"/>
      <c r="KFJ44" s="292"/>
      <c r="KFK44" s="292"/>
      <c r="KFL44" s="292"/>
      <c r="KFM44" s="291"/>
      <c r="KFN44" s="292"/>
      <c r="KFO44" s="292"/>
      <c r="KFP44" s="292"/>
      <c r="KFQ44" s="291"/>
      <c r="KFR44" s="292"/>
      <c r="KFS44" s="292"/>
      <c r="KFT44" s="292"/>
      <c r="KFU44" s="291"/>
      <c r="KFV44" s="292"/>
      <c r="KFW44" s="292"/>
      <c r="KFX44" s="292"/>
      <c r="KFY44" s="291"/>
      <c r="KFZ44" s="292"/>
      <c r="KGA44" s="292"/>
      <c r="KGB44" s="292"/>
      <c r="KGC44" s="291"/>
      <c r="KGD44" s="292"/>
      <c r="KGE44" s="292"/>
      <c r="KGF44" s="292"/>
      <c r="KGG44" s="291"/>
      <c r="KGH44" s="292"/>
      <c r="KGI44" s="292"/>
      <c r="KGJ44" s="292"/>
      <c r="KGK44" s="291"/>
      <c r="KGL44" s="292"/>
      <c r="KGM44" s="292"/>
      <c r="KGN44" s="292"/>
      <c r="KGO44" s="291"/>
      <c r="KGP44" s="292"/>
      <c r="KGQ44" s="292"/>
      <c r="KGR44" s="292"/>
      <c r="KGS44" s="291"/>
      <c r="KGT44" s="292"/>
      <c r="KGU44" s="292"/>
      <c r="KGV44" s="292"/>
      <c r="KGW44" s="291"/>
      <c r="KGX44" s="292"/>
      <c r="KGY44" s="292"/>
      <c r="KGZ44" s="292"/>
      <c r="KHA44" s="291"/>
      <c r="KHB44" s="292"/>
      <c r="KHC44" s="292"/>
      <c r="KHD44" s="292"/>
      <c r="KHE44" s="291"/>
      <c r="KHF44" s="292"/>
      <c r="KHG44" s="292"/>
      <c r="KHH44" s="292"/>
      <c r="KHI44" s="291"/>
      <c r="KHJ44" s="292"/>
      <c r="KHK44" s="292"/>
      <c r="KHL44" s="292"/>
      <c r="KHM44" s="291"/>
      <c r="KHN44" s="292"/>
      <c r="KHO44" s="292"/>
      <c r="KHP44" s="292"/>
      <c r="KHQ44" s="291"/>
      <c r="KHR44" s="292"/>
      <c r="KHS44" s="292"/>
      <c r="KHT44" s="292"/>
      <c r="KHU44" s="291"/>
      <c r="KHV44" s="292"/>
      <c r="KHW44" s="292"/>
      <c r="KHX44" s="292"/>
      <c r="KHY44" s="291"/>
      <c r="KHZ44" s="292"/>
      <c r="KIA44" s="292"/>
      <c r="KIB44" s="292"/>
      <c r="KIC44" s="291"/>
      <c r="KID44" s="292"/>
      <c r="KIE44" s="292"/>
      <c r="KIF44" s="292"/>
      <c r="KIG44" s="291"/>
      <c r="KIH44" s="292"/>
      <c r="KII44" s="292"/>
      <c r="KIJ44" s="292"/>
      <c r="KIK44" s="291"/>
      <c r="KIL44" s="292"/>
      <c r="KIM44" s="292"/>
      <c r="KIN44" s="292"/>
      <c r="KIO44" s="291"/>
      <c r="KIP44" s="292"/>
      <c r="KIQ44" s="292"/>
      <c r="KIR44" s="292"/>
      <c r="KIS44" s="291"/>
      <c r="KIT44" s="292"/>
      <c r="KIU44" s="292"/>
      <c r="KIV44" s="292"/>
      <c r="KIW44" s="291"/>
      <c r="KIX44" s="292"/>
      <c r="KIY44" s="292"/>
      <c r="KIZ44" s="292"/>
      <c r="KJA44" s="291"/>
      <c r="KJB44" s="292"/>
      <c r="KJC44" s="292"/>
      <c r="KJD44" s="292"/>
      <c r="KJE44" s="291"/>
      <c r="KJF44" s="292"/>
      <c r="KJG44" s="292"/>
      <c r="KJH44" s="292"/>
      <c r="KJI44" s="291"/>
      <c r="KJJ44" s="292"/>
      <c r="KJK44" s="292"/>
      <c r="KJL44" s="292"/>
      <c r="KJM44" s="291"/>
      <c r="KJN44" s="292"/>
      <c r="KJO44" s="292"/>
      <c r="KJP44" s="292"/>
      <c r="KJQ44" s="291"/>
      <c r="KJR44" s="292"/>
      <c r="KJS44" s="292"/>
      <c r="KJT44" s="292"/>
      <c r="KJU44" s="291"/>
      <c r="KJV44" s="292"/>
      <c r="KJW44" s="292"/>
      <c r="KJX44" s="292"/>
      <c r="KJY44" s="291"/>
      <c r="KJZ44" s="292"/>
      <c r="KKA44" s="292"/>
      <c r="KKB44" s="292"/>
      <c r="KKC44" s="291"/>
      <c r="KKD44" s="292"/>
      <c r="KKE44" s="292"/>
      <c r="KKF44" s="292"/>
      <c r="KKG44" s="291"/>
      <c r="KKH44" s="292"/>
      <c r="KKI44" s="292"/>
      <c r="KKJ44" s="292"/>
      <c r="KKK44" s="291"/>
      <c r="KKL44" s="292"/>
      <c r="KKM44" s="292"/>
      <c r="KKN44" s="292"/>
      <c r="KKO44" s="291"/>
      <c r="KKP44" s="292"/>
      <c r="KKQ44" s="292"/>
      <c r="KKR44" s="292"/>
      <c r="KKS44" s="291"/>
      <c r="KKT44" s="292"/>
      <c r="KKU44" s="292"/>
      <c r="KKV44" s="292"/>
      <c r="KKW44" s="291"/>
      <c r="KKX44" s="292"/>
      <c r="KKY44" s="292"/>
      <c r="KKZ44" s="292"/>
      <c r="KLA44" s="291"/>
      <c r="KLB44" s="292"/>
      <c r="KLC44" s="292"/>
      <c r="KLD44" s="292"/>
      <c r="KLE44" s="291"/>
      <c r="KLF44" s="292"/>
      <c r="KLG44" s="292"/>
      <c r="KLH44" s="292"/>
      <c r="KLI44" s="291"/>
      <c r="KLJ44" s="292"/>
      <c r="KLK44" s="292"/>
      <c r="KLL44" s="292"/>
      <c r="KLM44" s="291"/>
      <c r="KLN44" s="292"/>
      <c r="KLO44" s="292"/>
      <c r="KLP44" s="292"/>
      <c r="KLQ44" s="291"/>
      <c r="KLR44" s="292"/>
      <c r="KLS44" s="292"/>
      <c r="KLT44" s="292"/>
      <c r="KLU44" s="291"/>
      <c r="KLV44" s="292"/>
      <c r="KLW44" s="292"/>
      <c r="KLX44" s="292"/>
      <c r="KLY44" s="291"/>
      <c r="KLZ44" s="292"/>
      <c r="KMA44" s="292"/>
      <c r="KMB44" s="292"/>
      <c r="KMC44" s="291"/>
      <c r="KMD44" s="292"/>
      <c r="KME44" s="292"/>
      <c r="KMF44" s="292"/>
      <c r="KMG44" s="291"/>
      <c r="KMH44" s="292"/>
      <c r="KMI44" s="292"/>
      <c r="KMJ44" s="292"/>
      <c r="KMK44" s="291"/>
      <c r="KML44" s="292"/>
      <c r="KMM44" s="292"/>
      <c r="KMN44" s="292"/>
      <c r="KMO44" s="291"/>
      <c r="KMP44" s="292"/>
      <c r="KMQ44" s="292"/>
      <c r="KMR44" s="292"/>
      <c r="KMS44" s="291"/>
      <c r="KMT44" s="292"/>
      <c r="KMU44" s="292"/>
      <c r="KMV44" s="292"/>
      <c r="KMW44" s="291"/>
      <c r="KMX44" s="292"/>
      <c r="KMY44" s="292"/>
      <c r="KMZ44" s="292"/>
      <c r="KNA44" s="291"/>
      <c r="KNB44" s="292"/>
      <c r="KNC44" s="292"/>
      <c r="KND44" s="292"/>
      <c r="KNE44" s="291"/>
      <c r="KNF44" s="292"/>
      <c r="KNG44" s="292"/>
      <c r="KNH44" s="292"/>
      <c r="KNI44" s="291"/>
      <c r="KNJ44" s="292"/>
      <c r="KNK44" s="292"/>
      <c r="KNL44" s="292"/>
      <c r="KNM44" s="291"/>
      <c r="KNN44" s="292"/>
      <c r="KNO44" s="292"/>
      <c r="KNP44" s="292"/>
      <c r="KNQ44" s="291"/>
      <c r="KNR44" s="292"/>
      <c r="KNS44" s="292"/>
      <c r="KNT44" s="292"/>
      <c r="KNU44" s="291"/>
      <c r="KNV44" s="292"/>
      <c r="KNW44" s="292"/>
      <c r="KNX44" s="292"/>
      <c r="KNY44" s="291"/>
      <c r="KNZ44" s="292"/>
      <c r="KOA44" s="292"/>
      <c r="KOB44" s="292"/>
      <c r="KOC44" s="291"/>
      <c r="KOD44" s="292"/>
      <c r="KOE44" s="292"/>
      <c r="KOF44" s="292"/>
      <c r="KOG44" s="291"/>
      <c r="KOH44" s="292"/>
      <c r="KOI44" s="292"/>
      <c r="KOJ44" s="292"/>
      <c r="KOK44" s="291"/>
      <c r="KOL44" s="292"/>
      <c r="KOM44" s="292"/>
      <c r="KON44" s="292"/>
      <c r="KOO44" s="291"/>
      <c r="KOP44" s="292"/>
      <c r="KOQ44" s="292"/>
      <c r="KOR44" s="292"/>
      <c r="KOS44" s="291"/>
      <c r="KOT44" s="292"/>
      <c r="KOU44" s="292"/>
      <c r="KOV44" s="292"/>
      <c r="KOW44" s="291"/>
      <c r="KOX44" s="292"/>
      <c r="KOY44" s="292"/>
      <c r="KOZ44" s="292"/>
      <c r="KPA44" s="291"/>
      <c r="KPB44" s="292"/>
      <c r="KPC44" s="292"/>
      <c r="KPD44" s="292"/>
      <c r="KPE44" s="291"/>
      <c r="KPF44" s="292"/>
      <c r="KPG44" s="292"/>
      <c r="KPH44" s="292"/>
      <c r="KPI44" s="291"/>
      <c r="KPJ44" s="292"/>
      <c r="KPK44" s="292"/>
      <c r="KPL44" s="292"/>
      <c r="KPM44" s="291"/>
      <c r="KPN44" s="292"/>
      <c r="KPO44" s="292"/>
      <c r="KPP44" s="292"/>
      <c r="KPQ44" s="291"/>
      <c r="KPR44" s="292"/>
      <c r="KPS44" s="292"/>
      <c r="KPT44" s="292"/>
      <c r="KPU44" s="291"/>
      <c r="KPV44" s="292"/>
      <c r="KPW44" s="292"/>
      <c r="KPX44" s="292"/>
      <c r="KPY44" s="291"/>
      <c r="KPZ44" s="292"/>
      <c r="KQA44" s="292"/>
      <c r="KQB44" s="292"/>
      <c r="KQC44" s="291"/>
      <c r="KQD44" s="292"/>
      <c r="KQE44" s="292"/>
      <c r="KQF44" s="292"/>
      <c r="KQG44" s="291"/>
      <c r="KQH44" s="292"/>
      <c r="KQI44" s="292"/>
      <c r="KQJ44" s="292"/>
      <c r="KQK44" s="291"/>
      <c r="KQL44" s="292"/>
      <c r="KQM44" s="292"/>
      <c r="KQN44" s="292"/>
      <c r="KQO44" s="291"/>
      <c r="KQP44" s="292"/>
      <c r="KQQ44" s="292"/>
      <c r="KQR44" s="292"/>
      <c r="KQS44" s="291"/>
      <c r="KQT44" s="292"/>
      <c r="KQU44" s="292"/>
      <c r="KQV44" s="292"/>
      <c r="KQW44" s="291"/>
      <c r="KQX44" s="292"/>
      <c r="KQY44" s="292"/>
      <c r="KQZ44" s="292"/>
      <c r="KRA44" s="291"/>
      <c r="KRB44" s="292"/>
      <c r="KRC44" s="292"/>
      <c r="KRD44" s="292"/>
      <c r="KRE44" s="291"/>
      <c r="KRF44" s="292"/>
      <c r="KRG44" s="292"/>
      <c r="KRH44" s="292"/>
      <c r="KRI44" s="291"/>
      <c r="KRJ44" s="292"/>
      <c r="KRK44" s="292"/>
      <c r="KRL44" s="292"/>
      <c r="KRM44" s="291"/>
      <c r="KRN44" s="292"/>
      <c r="KRO44" s="292"/>
      <c r="KRP44" s="292"/>
      <c r="KRQ44" s="291"/>
      <c r="KRR44" s="292"/>
      <c r="KRS44" s="292"/>
      <c r="KRT44" s="292"/>
      <c r="KRU44" s="291"/>
      <c r="KRV44" s="292"/>
      <c r="KRW44" s="292"/>
      <c r="KRX44" s="292"/>
      <c r="KRY44" s="291"/>
      <c r="KRZ44" s="292"/>
      <c r="KSA44" s="292"/>
      <c r="KSB44" s="292"/>
      <c r="KSC44" s="291"/>
      <c r="KSD44" s="292"/>
      <c r="KSE44" s="292"/>
      <c r="KSF44" s="292"/>
      <c r="KSG44" s="291"/>
      <c r="KSH44" s="292"/>
      <c r="KSI44" s="292"/>
      <c r="KSJ44" s="292"/>
      <c r="KSK44" s="291"/>
      <c r="KSL44" s="292"/>
      <c r="KSM44" s="292"/>
      <c r="KSN44" s="292"/>
      <c r="KSO44" s="291"/>
      <c r="KSP44" s="292"/>
      <c r="KSQ44" s="292"/>
      <c r="KSR44" s="292"/>
      <c r="KSS44" s="291"/>
      <c r="KST44" s="292"/>
      <c r="KSU44" s="292"/>
      <c r="KSV44" s="292"/>
      <c r="KSW44" s="291"/>
      <c r="KSX44" s="292"/>
      <c r="KSY44" s="292"/>
      <c r="KSZ44" s="292"/>
      <c r="KTA44" s="291"/>
      <c r="KTB44" s="292"/>
      <c r="KTC44" s="292"/>
      <c r="KTD44" s="292"/>
      <c r="KTE44" s="291"/>
      <c r="KTF44" s="292"/>
      <c r="KTG44" s="292"/>
      <c r="KTH44" s="292"/>
      <c r="KTI44" s="291"/>
      <c r="KTJ44" s="292"/>
      <c r="KTK44" s="292"/>
      <c r="KTL44" s="292"/>
      <c r="KTM44" s="291"/>
      <c r="KTN44" s="292"/>
      <c r="KTO44" s="292"/>
      <c r="KTP44" s="292"/>
      <c r="KTQ44" s="291"/>
      <c r="KTR44" s="292"/>
      <c r="KTS44" s="292"/>
      <c r="KTT44" s="292"/>
      <c r="KTU44" s="291"/>
      <c r="KTV44" s="292"/>
      <c r="KTW44" s="292"/>
      <c r="KTX44" s="292"/>
      <c r="KTY44" s="291"/>
      <c r="KTZ44" s="292"/>
      <c r="KUA44" s="292"/>
      <c r="KUB44" s="292"/>
      <c r="KUC44" s="291"/>
      <c r="KUD44" s="292"/>
      <c r="KUE44" s="292"/>
      <c r="KUF44" s="292"/>
      <c r="KUG44" s="291"/>
      <c r="KUH44" s="292"/>
      <c r="KUI44" s="292"/>
      <c r="KUJ44" s="292"/>
      <c r="KUK44" s="291"/>
      <c r="KUL44" s="292"/>
      <c r="KUM44" s="292"/>
      <c r="KUN44" s="292"/>
      <c r="KUO44" s="291"/>
      <c r="KUP44" s="292"/>
      <c r="KUQ44" s="292"/>
      <c r="KUR44" s="292"/>
      <c r="KUS44" s="291"/>
      <c r="KUT44" s="292"/>
      <c r="KUU44" s="292"/>
      <c r="KUV44" s="292"/>
      <c r="KUW44" s="291"/>
      <c r="KUX44" s="292"/>
      <c r="KUY44" s="292"/>
      <c r="KUZ44" s="292"/>
      <c r="KVA44" s="291"/>
      <c r="KVB44" s="292"/>
      <c r="KVC44" s="292"/>
      <c r="KVD44" s="292"/>
      <c r="KVE44" s="291"/>
      <c r="KVF44" s="292"/>
      <c r="KVG44" s="292"/>
      <c r="KVH44" s="292"/>
      <c r="KVI44" s="291"/>
      <c r="KVJ44" s="292"/>
      <c r="KVK44" s="292"/>
      <c r="KVL44" s="292"/>
      <c r="KVM44" s="291"/>
      <c r="KVN44" s="292"/>
      <c r="KVO44" s="292"/>
      <c r="KVP44" s="292"/>
      <c r="KVQ44" s="291"/>
      <c r="KVR44" s="292"/>
      <c r="KVS44" s="292"/>
      <c r="KVT44" s="292"/>
      <c r="KVU44" s="291"/>
      <c r="KVV44" s="292"/>
      <c r="KVW44" s="292"/>
      <c r="KVX44" s="292"/>
      <c r="KVY44" s="291"/>
      <c r="KVZ44" s="292"/>
      <c r="KWA44" s="292"/>
      <c r="KWB44" s="292"/>
      <c r="KWC44" s="291"/>
      <c r="KWD44" s="292"/>
      <c r="KWE44" s="292"/>
      <c r="KWF44" s="292"/>
      <c r="KWG44" s="291"/>
      <c r="KWH44" s="292"/>
      <c r="KWI44" s="292"/>
      <c r="KWJ44" s="292"/>
      <c r="KWK44" s="291"/>
      <c r="KWL44" s="292"/>
      <c r="KWM44" s="292"/>
      <c r="KWN44" s="292"/>
      <c r="KWO44" s="291"/>
      <c r="KWP44" s="292"/>
      <c r="KWQ44" s="292"/>
      <c r="KWR44" s="292"/>
      <c r="KWS44" s="291"/>
      <c r="KWT44" s="292"/>
      <c r="KWU44" s="292"/>
      <c r="KWV44" s="292"/>
      <c r="KWW44" s="291"/>
      <c r="KWX44" s="292"/>
      <c r="KWY44" s="292"/>
      <c r="KWZ44" s="292"/>
      <c r="KXA44" s="291"/>
      <c r="KXB44" s="292"/>
      <c r="KXC44" s="292"/>
      <c r="KXD44" s="292"/>
      <c r="KXE44" s="291"/>
      <c r="KXF44" s="292"/>
      <c r="KXG44" s="292"/>
      <c r="KXH44" s="292"/>
      <c r="KXI44" s="291"/>
      <c r="KXJ44" s="292"/>
      <c r="KXK44" s="292"/>
      <c r="KXL44" s="292"/>
      <c r="KXM44" s="291"/>
      <c r="KXN44" s="292"/>
      <c r="KXO44" s="292"/>
      <c r="KXP44" s="292"/>
      <c r="KXQ44" s="291"/>
      <c r="KXR44" s="292"/>
      <c r="KXS44" s="292"/>
      <c r="KXT44" s="292"/>
      <c r="KXU44" s="291"/>
      <c r="KXV44" s="292"/>
      <c r="KXW44" s="292"/>
      <c r="KXX44" s="292"/>
      <c r="KXY44" s="291"/>
      <c r="KXZ44" s="292"/>
      <c r="KYA44" s="292"/>
      <c r="KYB44" s="292"/>
      <c r="KYC44" s="291"/>
      <c r="KYD44" s="292"/>
      <c r="KYE44" s="292"/>
      <c r="KYF44" s="292"/>
      <c r="KYG44" s="291"/>
      <c r="KYH44" s="292"/>
      <c r="KYI44" s="292"/>
      <c r="KYJ44" s="292"/>
      <c r="KYK44" s="291"/>
      <c r="KYL44" s="292"/>
      <c r="KYM44" s="292"/>
      <c r="KYN44" s="292"/>
      <c r="KYO44" s="291"/>
      <c r="KYP44" s="292"/>
      <c r="KYQ44" s="292"/>
      <c r="KYR44" s="292"/>
      <c r="KYS44" s="291"/>
      <c r="KYT44" s="292"/>
      <c r="KYU44" s="292"/>
      <c r="KYV44" s="292"/>
      <c r="KYW44" s="291"/>
      <c r="KYX44" s="292"/>
      <c r="KYY44" s="292"/>
      <c r="KYZ44" s="292"/>
      <c r="KZA44" s="291"/>
      <c r="KZB44" s="292"/>
      <c r="KZC44" s="292"/>
      <c r="KZD44" s="292"/>
      <c r="KZE44" s="291"/>
      <c r="KZF44" s="292"/>
      <c r="KZG44" s="292"/>
      <c r="KZH44" s="292"/>
      <c r="KZI44" s="291"/>
      <c r="KZJ44" s="292"/>
      <c r="KZK44" s="292"/>
      <c r="KZL44" s="292"/>
      <c r="KZM44" s="291"/>
      <c r="KZN44" s="292"/>
      <c r="KZO44" s="292"/>
      <c r="KZP44" s="292"/>
      <c r="KZQ44" s="291"/>
      <c r="KZR44" s="292"/>
      <c r="KZS44" s="292"/>
      <c r="KZT44" s="292"/>
      <c r="KZU44" s="291"/>
      <c r="KZV44" s="292"/>
      <c r="KZW44" s="292"/>
      <c r="KZX44" s="292"/>
      <c r="KZY44" s="291"/>
      <c r="KZZ44" s="292"/>
      <c r="LAA44" s="292"/>
      <c r="LAB44" s="292"/>
      <c r="LAC44" s="291"/>
      <c r="LAD44" s="292"/>
      <c r="LAE44" s="292"/>
      <c r="LAF44" s="292"/>
      <c r="LAG44" s="291"/>
      <c r="LAH44" s="292"/>
      <c r="LAI44" s="292"/>
      <c r="LAJ44" s="292"/>
      <c r="LAK44" s="291"/>
      <c r="LAL44" s="292"/>
      <c r="LAM44" s="292"/>
      <c r="LAN44" s="292"/>
      <c r="LAO44" s="291"/>
      <c r="LAP44" s="292"/>
      <c r="LAQ44" s="292"/>
      <c r="LAR44" s="292"/>
      <c r="LAS44" s="291"/>
      <c r="LAT44" s="292"/>
      <c r="LAU44" s="292"/>
      <c r="LAV44" s="292"/>
      <c r="LAW44" s="291"/>
      <c r="LAX44" s="292"/>
      <c r="LAY44" s="292"/>
      <c r="LAZ44" s="292"/>
      <c r="LBA44" s="291"/>
      <c r="LBB44" s="292"/>
      <c r="LBC44" s="292"/>
      <c r="LBD44" s="292"/>
      <c r="LBE44" s="291"/>
      <c r="LBF44" s="292"/>
      <c r="LBG44" s="292"/>
      <c r="LBH44" s="292"/>
      <c r="LBI44" s="291"/>
      <c r="LBJ44" s="292"/>
      <c r="LBK44" s="292"/>
      <c r="LBL44" s="292"/>
      <c r="LBM44" s="291"/>
      <c r="LBN44" s="292"/>
      <c r="LBO44" s="292"/>
      <c r="LBP44" s="292"/>
      <c r="LBQ44" s="291"/>
      <c r="LBR44" s="292"/>
      <c r="LBS44" s="292"/>
      <c r="LBT44" s="292"/>
      <c r="LBU44" s="291"/>
      <c r="LBV44" s="292"/>
      <c r="LBW44" s="292"/>
      <c r="LBX44" s="292"/>
      <c r="LBY44" s="291"/>
      <c r="LBZ44" s="292"/>
      <c r="LCA44" s="292"/>
      <c r="LCB44" s="292"/>
      <c r="LCC44" s="291"/>
      <c r="LCD44" s="292"/>
      <c r="LCE44" s="292"/>
      <c r="LCF44" s="292"/>
      <c r="LCG44" s="291"/>
      <c r="LCH44" s="292"/>
      <c r="LCI44" s="292"/>
      <c r="LCJ44" s="292"/>
      <c r="LCK44" s="291"/>
      <c r="LCL44" s="292"/>
      <c r="LCM44" s="292"/>
      <c r="LCN44" s="292"/>
      <c r="LCO44" s="291"/>
      <c r="LCP44" s="292"/>
      <c r="LCQ44" s="292"/>
      <c r="LCR44" s="292"/>
      <c r="LCS44" s="291"/>
      <c r="LCT44" s="292"/>
      <c r="LCU44" s="292"/>
      <c r="LCV44" s="292"/>
      <c r="LCW44" s="291"/>
      <c r="LCX44" s="292"/>
      <c r="LCY44" s="292"/>
      <c r="LCZ44" s="292"/>
      <c r="LDA44" s="291"/>
      <c r="LDB44" s="292"/>
      <c r="LDC44" s="292"/>
      <c r="LDD44" s="292"/>
      <c r="LDE44" s="291"/>
      <c r="LDF44" s="292"/>
      <c r="LDG44" s="292"/>
      <c r="LDH44" s="292"/>
      <c r="LDI44" s="291"/>
      <c r="LDJ44" s="292"/>
      <c r="LDK44" s="292"/>
      <c r="LDL44" s="292"/>
      <c r="LDM44" s="291"/>
      <c r="LDN44" s="292"/>
      <c r="LDO44" s="292"/>
      <c r="LDP44" s="292"/>
      <c r="LDQ44" s="291"/>
      <c r="LDR44" s="292"/>
      <c r="LDS44" s="292"/>
      <c r="LDT44" s="292"/>
      <c r="LDU44" s="291"/>
      <c r="LDV44" s="292"/>
      <c r="LDW44" s="292"/>
      <c r="LDX44" s="292"/>
      <c r="LDY44" s="291"/>
      <c r="LDZ44" s="292"/>
      <c r="LEA44" s="292"/>
      <c r="LEB44" s="292"/>
      <c r="LEC44" s="291"/>
      <c r="LED44" s="292"/>
      <c r="LEE44" s="292"/>
      <c r="LEF44" s="292"/>
      <c r="LEG44" s="291"/>
      <c r="LEH44" s="292"/>
      <c r="LEI44" s="292"/>
      <c r="LEJ44" s="292"/>
      <c r="LEK44" s="291"/>
      <c r="LEL44" s="292"/>
      <c r="LEM44" s="292"/>
      <c r="LEN44" s="292"/>
      <c r="LEO44" s="291"/>
      <c r="LEP44" s="292"/>
      <c r="LEQ44" s="292"/>
      <c r="LER44" s="292"/>
      <c r="LES44" s="291"/>
      <c r="LET44" s="292"/>
      <c r="LEU44" s="292"/>
      <c r="LEV44" s="292"/>
      <c r="LEW44" s="291"/>
      <c r="LEX44" s="292"/>
      <c r="LEY44" s="292"/>
      <c r="LEZ44" s="292"/>
      <c r="LFA44" s="291"/>
      <c r="LFB44" s="292"/>
      <c r="LFC44" s="292"/>
      <c r="LFD44" s="292"/>
      <c r="LFE44" s="291"/>
      <c r="LFF44" s="292"/>
      <c r="LFG44" s="292"/>
      <c r="LFH44" s="292"/>
      <c r="LFI44" s="291"/>
      <c r="LFJ44" s="292"/>
      <c r="LFK44" s="292"/>
      <c r="LFL44" s="292"/>
      <c r="LFM44" s="291"/>
      <c r="LFN44" s="292"/>
      <c r="LFO44" s="292"/>
      <c r="LFP44" s="292"/>
      <c r="LFQ44" s="291"/>
      <c r="LFR44" s="292"/>
      <c r="LFS44" s="292"/>
      <c r="LFT44" s="292"/>
      <c r="LFU44" s="291"/>
      <c r="LFV44" s="292"/>
      <c r="LFW44" s="292"/>
      <c r="LFX44" s="292"/>
      <c r="LFY44" s="291"/>
      <c r="LFZ44" s="292"/>
      <c r="LGA44" s="292"/>
      <c r="LGB44" s="292"/>
      <c r="LGC44" s="291"/>
      <c r="LGD44" s="292"/>
      <c r="LGE44" s="292"/>
      <c r="LGF44" s="292"/>
      <c r="LGG44" s="291"/>
      <c r="LGH44" s="292"/>
      <c r="LGI44" s="292"/>
      <c r="LGJ44" s="292"/>
      <c r="LGK44" s="291"/>
      <c r="LGL44" s="292"/>
      <c r="LGM44" s="292"/>
      <c r="LGN44" s="292"/>
      <c r="LGO44" s="291"/>
      <c r="LGP44" s="292"/>
      <c r="LGQ44" s="292"/>
      <c r="LGR44" s="292"/>
      <c r="LGS44" s="291"/>
      <c r="LGT44" s="292"/>
      <c r="LGU44" s="292"/>
      <c r="LGV44" s="292"/>
      <c r="LGW44" s="291"/>
      <c r="LGX44" s="292"/>
      <c r="LGY44" s="292"/>
      <c r="LGZ44" s="292"/>
      <c r="LHA44" s="291"/>
      <c r="LHB44" s="292"/>
      <c r="LHC44" s="292"/>
      <c r="LHD44" s="292"/>
      <c r="LHE44" s="291"/>
      <c r="LHF44" s="292"/>
      <c r="LHG44" s="292"/>
      <c r="LHH44" s="292"/>
      <c r="LHI44" s="291"/>
      <c r="LHJ44" s="292"/>
      <c r="LHK44" s="292"/>
      <c r="LHL44" s="292"/>
      <c r="LHM44" s="291"/>
      <c r="LHN44" s="292"/>
      <c r="LHO44" s="292"/>
      <c r="LHP44" s="292"/>
      <c r="LHQ44" s="291"/>
      <c r="LHR44" s="292"/>
      <c r="LHS44" s="292"/>
      <c r="LHT44" s="292"/>
      <c r="LHU44" s="291"/>
      <c r="LHV44" s="292"/>
      <c r="LHW44" s="292"/>
      <c r="LHX44" s="292"/>
      <c r="LHY44" s="291"/>
      <c r="LHZ44" s="292"/>
      <c r="LIA44" s="292"/>
      <c r="LIB44" s="292"/>
      <c r="LIC44" s="291"/>
      <c r="LID44" s="292"/>
      <c r="LIE44" s="292"/>
      <c r="LIF44" s="292"/>
      <c r="LIG44" s="291"/>
      <c r="LIH44" s="292"/>
      <c r="LII44" s="292"/>
      <c r="LIJ44" s="292"/>
      <c r="LIK44" s="291"/>
      <c r="LIL44" s="292"/>
      <c r="LIM44" s="292"/>
      <c r="LIN44" s="292"/>
      <c r="LIO44" s="291"/>
      <c r="LIP44" s="292"/>
      <c r="LIQ44" s="292"/>
      <c r="LIR44" s="292"/>
      <c r="LIS44" s="291"/>
      <c r="LIT44" s="292"/>
      <c r="LIU44" s="292"/>
      <c r="LIV44" s="292"/>
      <c r="LIW44" s="291"/>
      <c r="LIX44" s="292"/>
      <c r="LIY44" s="292"/>
      <c r="LIZ44" s="292"/>
      <c r="LJA44" s="291"/>
      <c r="LJB44" s="292"/>
      <c r="LJC44" s="292"/>
      <c r="LJD44" s="292"/>
      <c r="LJE44" s="291"/>
      <c r="LJF44" s="292"/>
      <c r="LJG44" s="292"/>
      <c r="LJH44" s="292"/>
      <c r="LJI44" s="291"/>
      <c r="LJJ44" s="292"/>
      <c r="LJK44" s="292"/>
      <c r="LJL44" s="292"/>
      <c r="LJM44" s="291"/>
      <c r="LJN44" s="292"/>
      <c r="LJO44" s="292"/>
      <c r="LJP44" s="292"/>
      <c r="LJQ44" s="291"/>
      <c r="LJR44" s="292"/>
      <c r="LJS44" s="292"/>
      <c r="LJT44" s="292"/>
      <c r="LJU44" s="291"/>
      <c r="LJV44" s="292"/>
      <c r="LJW44" s="292"/>
      <c r="LJX44" s="292"/>
      <c r="LJY44" s="291"/>
      <c r="LJZ44" s="292"/>
      <c r="LKA44" s="292"/>
      <c r="LKB44" s="292"/>
      <c r="LKC44" s="291"/>
      <c r="LKD44" s="292"/>
      <c r="LKE44" s="292"/>
      <c r="LKF44" s="292"/>
      <c r="LKG44" s="291"/>
      <c r="LKH44" s="292"/>
      <c r="LKI44" s="292"/>
      <c r="LKJ44" s="292"/>
      <c r="LKK44" s="291"/>
      <c r="LKL44" s="292"/>
      <c r="LKM44" s="292"/>
      <c r="LKN44" s="292"/>
      <c r="LKO44" s="291"/>
      <c r="LKP44" s="292"/>
      <c r="LKQ44" s="292"/>
      <c r="LKR44" s="292"/>
      <c r="LKS44" s="291"/>
      <c r="LKT44" s="292"/>
      <c r="LKU44" s="292"/>
      <c r="LKV44" s="292"/>
      <c r="LKW44" s="291"/>
      <c r="LKX44" s="292"/>
      <c r="LKY44" s="292"/>
      <c r="LKZ44" s="292"/>
      <c r="LLA44" s="291"/>
      <c r="LLB44" s="292"/>
      <c r="LLC44" s="292"/>
      <c r="LLD44" s="292"/>
      <c r="LLE44" s="291"/>
      <c r="LLF44" s="292"/>
      <c r="LLG44" s="292"/>
      <c r="LLH44" s="292"/>
      <c r="LLI44" s="291"/>
      <c r="LLJ44" s="292"/>
      <c r="LLK44" s="292"/>
      <c r="LLL44" s="292"/>
      <c r="LLM44" s="291"/>
      <c r="LLN44" s="292"/>
      <c r="LLO44" s="292"/>
      <c r="LLP44" s="292"/>
      <c r="LLQ44" s="291"/>
      <c r="LLR44" s="292"/>
      <c r="LLS44" s="292"/>
      <c r="LLT44" s="292"/>
      <c r="LLU44" s="291"/>
      <c r="LLV44" s="292"/>
      <c r="LLW44" s="292"/>
      <c r="LLX44" s="292"/>
      <c r="LLY44" s="291"/>
      <c r="LLZ44" s="292"/>
      <c r="LMA44" s="292"/>
      <c r="LMB44" s="292"/>
      <c r="LMC44" s="291"/>
      <c r="LMD44" s="292"/>
      <c r="LME44" s="292"/>
      <c r="LMF44" s="292"/>
      <c r="LMG44" s="291"/>
      <c r="LMH44" s="292"/>
      <c r="LMI44" s="292"/>
      <c r="LMJ44" s="292"/>
      <c r="LMK44" s="291"/>
      <c r="LML44" s="292"/>
      <c r="LMM44" s="292"/>
      <c r="LMN44" s="292"/>
      <c r="LMO44" s="291"/>
      <c r="LMP44" s="292"/>
      <c r="LMQ44" s="292"/>
      <c r="LMR44" s="292"/>
      <c r="LMS44" s="291"/>
      <c r="LMT44" s="292"/>
      <c r="LMU44" s="292"/>
      <c r="LMV44" s="292"/>
      <c r="LMW44" s="291"/>
      <c r="LMX44" s="292"/>
      <c r="LMY44" s="292"/>
      <c r="LMZ44" s="292"/>
      <c r="LNA44" s="291"/>
      <c r="LNB44" s="292"/>
      <c r="LNC44" s="292"/>
      <c r="LND44" s="292"/>
      <c r="LNE44" s="291"/>
      <c r="LNF44" s="292"/>
      <c r="LNG44" s="292"/>
      <c r="LNH44" s="292"/>
      <c r="LNI44" s="291"/>
      <c r="LNJ44" s="292"/>
      <c r="LNK44" s="292"/>
      <c r="LNL44" s="292"/>
      <c r="LNM44" s="291"/>
      <c r="LNN44" s="292"/>
      <c r="LNO44" s="292"/>
      <c r="LNP44" s="292"/>
      <c r="LNQ44" s="291"/>
      <c r="LNR44" s="292"/>
      <c r="LNS44" s="292"/>
      <c r="LNT44" s="292"/>
      <c r="LNU44" s="291"/>
      <c r="LNV44" s="292"/>
      <c r="LNW44" s="292"/>
      <c r="LNX44" s="292"/>
      <c r="LNY44" s="291"/>
      <c r="LNZ44" s="292"/>
      <c r="LOA44" s="292"/>
      <c r="LOB44" s="292"/>
      <c r="LOC44" s="291"/>
      <c r="LOD44" s="292"/>
      <c r="LOE44" s="292"/>
      <c r="LOF44" s="292"/>
      <c r="LOG44" s="291"/>
      <c r="LOH44" s="292"/>
      <c r="LOI44" s="292"/>
      <c r="LOJ44" s="292"/>
      <c r="LOK44" s="291"/>
      <c r="LOL44" s="292"/>
      <c r="LOM44" s="292"/>
      <c r="LON44" s="292"/>
      <c r="LOO44" s="291"/>
      <c r="LOP44" s="292"/>
      <c r="LOQ44" s="292"/>
      <c r="LOR44" s="292"/>
      <c r="LOS44" s="291"/>
      <c r="LOT44" s="292"/>
      <c r="LOU44" s="292"/>
      <c r="LOV44" s="292"/>
      <c r="LOW44" s="291"/>
      <c r="LOX44" s="292"/>
      <c r="LOY44" s="292"/>
      <c r="LOZ44" s="292"/>
      <c r="LPA44" s="291"/>
      <c r="LPB44" s="292"/>
      <c r="LPC44" s="292"/>
      <c r="LPD44" s="292"/>
      <c r="LPE44" s="291"/>
      <c r="LPF44" s="292"/>
      <c r="LPG44" s="292"/>
      <c r="LPH44" s="292"/>
      <c r="LPI44" s="291"/>
      <c r="LPJ44" s="292"/>
      <c r="LPK44" s="292"/>
      <c r="LPL44" s="292"/>
      <c r="LPM44" s="291"/>
      <c r="LPN44" s="292"/>
      <c r="LPO44" s="292"/>
      <c r="LPP44" s="292"/>
      <c r="LPQ44" s="291"/>
      <c r="LPR44" s="292"/>
      <c r="LPS44" s="292"/>
      <c r="LPT44" s="292"/>
      <c r="LPU44" s="291"/>
      <c r="LPV44" s="292"/>
      <c r="LPW44" s="292"/>
      <c r="LPX44" s="292"/>
      <c r="LPY44" s="291"/>
      <c r="LPZ44" s="292"/>
      <c r="LQA44" s="292"/>
      <c r="LQB44" s="292"/>
      <c r="LQC44" s="291"/>
      <c r="LQD44" s="292"/>
      <c r="LQE44" s="292"/>
      <c r="LQF44" s="292"/>
      <c r="LQG44" s="291"/>
      <c r="LQH44" s="292"/>
      <c r="LQI44" s="292"/>
      <c r="LQJ44" s="292"/>
      <c r="LQK44" s="291"/>
      <c r="LQL44" s="292"/>
      <c r="LQM44" s="292"/>
      <c r="LQN44" s="292"/>
      <c r="LQO44" s="291"/>
      <c r="LQP44" s="292"/>
      <c r="LQQ44" s="292"/>
      <c r="LQR44" s="292"/>
      <c r="LQS44" s="291"/>
      <c r="LQT44" s="292"/>
      <c r="LQU44" s="292"/>
      <c r="LQV44" s="292"/>
      <c r="LQW44" s="291"/>
      <c r="LQX44" s="292"/>
      <c r="LQY44" s="292"/>
      <c r="LQZ44" s="292"/>
      <c r="LRA44" s="291"/>
      <c r="LRB44" s="292"/>
      <c r="LRC44" s="292"/>
      <c r="LRD44" s="292"/>
      <c r="LRE44" s="291"/>
      <c r="LRF44" s="292"/>
      <c r="LRG44" s="292"/>
      <c r="LRH44" s="292"/>
      <c r="LRI44" s="291"/>
      <c r="LRJ44" s="292"/>
      <c r="LRK44" s="292"/>
      <c r="LRL44" s="292"/>
      <c r="LRM44" s="291"/>
      <c r="LRN44" s="292"/>
      <c r="LRO44" s="292"/>
      <c r="LRP44" s="292"/>
      <c r="LRQ44" s="291"/>
      <c r="LRR44" s="292"/>
      <c r="LRS44" s="292"/>
      <c r="LRT44" s="292"/>
      <c r="LRU44" s="291"/>
      <c r="LRV44" s="292"/>
      <c r="LRW44" s="292"/>
      <c r="LRX44" s="292"/>
      <c r="LRY44" s="291"/>
      <c r="LRZ44" s="292"/>
      <c r="LSA44" s="292"/>
      <c r="LSB44" s="292"/>
      <c r="LSC44" s="291"/>
      <c r="LSD44" s="292"/>
      <c r="LSE44" s="292"/>
      <c r="LSF44" s="292"/>
      <c r="LSG44" s="291"/>
      <c r="LSH44" s="292"/>
      <c r="LSI44" s="292"/>
      <c r="LSJ44" s="292"/>
      <c r="LSK44" s="291"/>
      <c r="LSL44" s="292"/>
      <c r="LSM44" s="292"/>
      <c r="LSN44" s="292"/>
      <c r="LSO44" s="291"/>
      <c r="LSP44" s="292"/>
      <c r="LSQ44" s="292"/>
      <c r="LSR44" s="292"/>
      <c r="LSS44" s="291"/>
      <c r="LST44" s="292"/>
      <c r="LSU44" s="292"/>
      <c r="LSV44" s="292"/>
      <c r="LSW44" s="291"/>
      <c r="LSX44" s="292"/>
      <c r="LSY44" s="292"/>
      <c r="LSZ44" s="292"/>
      <c r="LTA44" s="291"/>
      <c r="LTB44" s="292"/>
      <c r="LTC44" s="292"/>
      <c r="LTD44" s="292"/>
      <c r="LTE44" s="291"/>
      <c r="LTF44" s="292"/>
      <c r="LTG44" s="292"/>
      <c r="LTH44" s="292"/>
      <c r="LTI44" s="291"/>
      <c r="LTJ44" s="292"/>
      <c r="LTK44" s="292"/>
      <c r="LTL44" s="292"/>
      <c r="LTM44" s="291"/>
      <c r="LTN44" s="292"/>
      <c r="LTO44" s="292"/>
      <c r="LTP44" s="292"/>
      <c r="LTQ44" s="291"/>
      <c r="LTR44" s="292"/>
      <c r="LTS44" s="292"/>
      <c r="LTT44" s="292"/>
      <c r="LTU44" s="291"/>
      <c r="LTV44" s="292"/>
      <c r="LTW44" s="292"/>
      <c r="LTX44" s="292"/>
      <c r="LTY44" s="291"/>
      <c r="LTZ44" s="292"/>
      <c r="LUA44" s="292"/>
      <c r="LUB44" s="292"/>
      <c r="LUC44" s="291"/>
      <c r="LUD44" s="292"/>
      <c r="LUE44" s="292"/>
      <c r="LUF44" s="292"/>
      <c r="LUG44" s="291"/>
      <c r="LUH44" s="292"/>
      <c r="LUI44" s="292"/>
      <c r="LUJ44" s="292"/>
      <c r="LUK44" s="291"/>
      <c r="LUL44" s="292"/>
      <c r="LUM44" s="292"/>
      <c r="LUN44" s="292"/>
      <c r="LUO44" s="291"/>
      <c r="LUP44" s="292"/>
      <c r="LUQ44" s="292"/>
      <c r="LUR44" s="292"/>
      <c r="LUS44" s="291"/>
      <c r="LUT44" s="292"/>
      <c r="LUU44" s="292"/>
      <c r="LUV44" s="292"/>
      <c r="LUW44" s="291"/>
      <c r="LUX44" s="292"/>
      <c r="LUY44" s="292"/>
      <c r="LUZ44" s="292"/>
      <c r="LVA44" s="291"/>
      <c r="LVB44" s="292"/>
      <c r="LVC44" s="292"/>
      <c r="LVD44" s="292"/>
      <c r="LVE44" s="291"/>
      <c r="LVF44" s="292"/>
      <c r="LVG44" s="292"/>
      <c r="LVH44" s="292"/>
      <c r="LVI44" s="291"/>
      <c r="LVJ44" s="292"/>
      <c r="LVK44" s="292"/>
      <c r="LVL44" s="292"/>
      <c r="LVM44" s="291"/>
      <c r="LVN44" s="292"/>
      <c r="LVO44" s="292"/>
      <c r="LVP44" s="292"/>
      <c r="LVQ44" s="291"/>
      <c r="LVR44" s="292"/>
      <c r="LVS44" s="292"/>
      <c r="LVT44" s="292"/>
      <c r="LVU44" s="291"/>
      <c r="LVV44" s="292"/>
      <c r="LVW44" s="292"/>
      <c r="LVX44" s="292"/>
      <c r="LVY44" s="291"/>
      <c r="LVZ44" s="292"/>
      <c r="LWA44" s="292"/>
      <c r="LWB44" s="292"/>
      <c r="LWC44" s="291"/>
      <c r="LWD44" s="292"/>
      <c r="LWE44" s="292"/>
      <c r="LWF44" s="292"/>
      <c r="LWG44" s="291"/>
      <c r="LWH44" s="292"/>
      <c r="LWI44" s="292"/>
      <c r="LWJ44" s="292"/>
      <c r="LWK44" s="291"/>
      <c r="LWL44" s="292"/>
      <c r="LWM44" s="292"/>
      <c r="LWN44" s="292"/>
      <c r="LWO44" s="291"/>
      <c r="LWP44" s="292"/>
      <c r="LWQ44" s="292"/>
      <c r="LWR44" s="292"/>
      <c r="LWS44" s="291"/>
      <c r="LWT44" s="292"/>
      <c r="LWU44" s="292"/>
      <c r="LWV44" s="292"/>
      <c r="LWW44" s="291"/>
      <c r="LWX44" s="292"/>
      <c r="LWY44" s="292"/>
      <c r="LWZ44" s="292"/>
      <c r="LXA44" s="291"/>
      <c r="LXB44" s="292"/>
      <c r="LXC44" s="292"/>
      <c r="LXD44" s="292"/>
      <c r="LXE44" s="291"/>
      <c r="LXF44" s="292"/>
      <c r="LXG44" s="292"/>
      <c r="LXH44" s="292"/>
      <c r="LXI44" s="291"/>
      <c r="LXJ44" s="292"/>
      <c r="LXK44" s="292"/>
      <c r="LXL44" s="292"/>
      <c r="LXM44" s="291"/>
      <c r="LXN44" s="292"/>
      <c r="LXO44" s="292"/>
      <c r="LXP44" s="292"/>
      <c r="LXQ44" s="291"/>
      <c r="LXR44" s="292"/>
      <c r="LXS44" s="292"/>
      <c r="LXT44" s="292"/>
      <c r="LXU44" s="291"/>
      <c r="LXV44" s="292"/>
      <c r="LXW44" s="292"/>
      <c r="LXX44" s="292"/>
      <c r="LXY44" s="291"/>
      <c r="LXZ44" s="292"/>
      <c r="LYA44" s="292"/>
      <c r="LYB44" s="292"/>
      <c r="LYC44" s="291"/>
      <c r="LYD44" s="292"/>
      <c r="LYE44" s="292"/>
      <c r="LYF44" s="292"/>
      <c r="LYG44" s="291"/>
      <c r="LYH44" s="292"/>
      <c r="LYI44" s="292"/>
      <c r="LYJ44" s="292"/>
      <c r="LYK44" s="291"/>
      <c r="LYL44" s="292"/>
      <c r="LYM44" s="292"/>
      <c r="LYN44" s="292"/>
      <c r="LYO44" s="291"/>
      <c r="LYP44" s="292"/>
      <c r="LYQ44" s="292"/>
      <c r="LYR44" s="292"/>
      <c r="LYS44" s="291"/>
      <c r="LYT44" s="292"/>
      <c r="LYU44" s="292"/>
      <c r="LYV44" s="292"/>
      <c r="LYW44" s="291"/>
      <c r="LYX44" s="292"/>
      <c r="LYY44" s="292"/>
      <c r="LYZ44" s="292"/>
      <c r="LZA44" s="291"/>
      <c r="LZB44" s="292"/>
      <c r="LZC44" s="292"/>
      <c r="LZD44" s="292"/>
      <c r="LZE44" s="291"/>
      <c r="LZF44" s="292"/>
      <c r="LZG44" s="292"/>
      <c r="LZH44" s="292"/>
      <c r="LZI44" s="291"/>
      <c r="LZJ44" s="292"/>
      <c r="LZK44" s="292"/>
      <c r="LZL44" s="292"/>
      <c r="LZM44" s="291"/>
      <c r="LZN44" s="292"/>
      <c r="LZO44" s="292"/>
      <c r="LZP44" s="292"/>
      <c r="LZQ44" s="291"/>
      <c r="LZR44" s="292"/>
      <c r="LZS44" s="292"/>
      <c r="LZT44" s="292"/>
      <c r="LZU44" s="291"/>
      <c r="LZV44" s="292"/>
      <c r="LZW44" s="292"/>
      <c r="LZX44" s="292"/>
      <c r="LZY44" s="291"/>
      <c r="LZZ44" s="292"/>
      <c r="MAA44" s="292"/>
      <c r="MAB44" s="292"/>
      <c r="MAC44" s="291"/>
      <c r="MAD44" s="292"/>
      <c r="MAE44" s="292"/>
      <c r="MAF44" s="292"/>
      <c r="MAG44" s="291"/>
      <c r="MAH44" s="292"/>
      <c r="MAI44" s="292"/>
      <c r="MAJ44" s="292"/>
      <c r="MAK44" s="291"/>
      <c r="MAL44" s="292"/>
      <c r="MAM44" s="292"/>
      <c r="MAN44" s="292"/>
      <c r="MAO44" s="291"/>
      <c r="MAP44" s="292"/>
      <c r="MAQ44" s="292"/>
      <c r="MAR44" s="292"/>
      <c r="MAS44" s="291"/>
      <c r="MAT44" s="292"/>
      <c r="MAU44" s="292"/>
      <c r="MAV44" s="292"/>
      <c r="MAW44" s="291"/>
      <c r="MAX44" s="292"/>
      <c r="MAY44" s="292"/>
      <c r="MAZ44" s="292"/>
      <c r="MBA44" s="291"/>
      <c r="MBB44" s="292"/>
      <c r="MBC44" s="292"/>
      <c r="MBD44" s="292"/>
      <c r="MBE44" s="291"/>
      <c r="MBF44" s="292"/>
      <c r="MBG44" s="292"/>
      <c r="MBH44" s="292"/>
      <c r="MBI44" s="291"/>
      <c r="MBJ44" s="292"/>
      <c r="MBK44" s="292"/>
      <c r="MBL44" s="292"/>
      <c r="MBM44" s="291"/>
      <c r="MBN44" s="292"/>
      <c r="MBO44" s="292"/>
      <c r="MBP44" s="292"/>
      <c r="MBQ44" s="291"/>
      <c r="MBR44" s="292"/>
      <c r="MBS44" s="292"/>
      <c r="MBT44" s="292"/>
      <c r="MBU44" s="291"/>
      <c r="MBV44" s="292"/>
      <c r="MBW44" s="292"/>
      <c r="MBX44" s="292"/>
      <c r="MBY44" s="291"/>
      <c r="MBZ44" s="292"/>
      <c r="MCA44" s="292"/>
      <c r="MCB44" s="292"/>
      <c r="MCC44" s="291"/>
      <c r="MCD44" s="292"/>
      <c r="MCE44" s="292"/>
      <c r="MCF44" s="292"/>
      <c r="MCG44" s="291"/>
      <c r="MCH44" s="292"/>
      <c r="MCI44" s="292"/>
      <c r="MCJ44" s="292"/>
      <c r="MCK44" s="291"/>
      <c r="MCL44" s="292"/>
      <c r="MCM44" s="292"/>
      <c r="MCN44" s="292"/>
      <c r="MCO44" s="291"/>
      <c r="MCP44" s="292"/>
      <c r="MCQ44" s="292"/>
      <c r="MCR44" s="292"/>
      <c r="MCS44" s="291"/>
      <c r="MCT44" s="292"/>
      <c r="MCU44" s="292"/>
      <c r="MCV44" s="292"/>
      <c r="MCW44" s="291"/>
      <c r="MCX44" s="292"/>
      <c r="MCY44" s="292"/>
      <c r="MCZ44" s="292"/>
      <c r="MDA44" s="291"/>
      <c r="MDB44" s="292"/>
      <c r="MDC44" s="292"/>
      <c r="MDD44" s="292"/>
      <c r="MDE44" s="291"/>
      <c r="MDF44" s="292"/>
      <c r="MDG44" s="292"/>
      <c r="MDH44" s="292"/>
      <c r="MDI44" s="291"/>
      <c r="MDJ44" s="292"/>
      <c r="MDK44" s="292"/>
      <c r="MDL44" s="292"/>
      <c r="MDM44" s="291"/>
      <c r="MDN44" s="292"/>
      <c r="MDO44" s="292"/>
      <c r="MDP44" s="292"/>
      <c r="MDQ44" s="291"/>
      <c r="MDR44" s="292"/>
      <c r="MDS44" s="292"/>
      <c r="MDT44" s="292"/>
      <c r="MDU44" s="291"/>
      <c r="MDV44" s="292"/>
      <c r="MDW44" s="292"/>
      <c r="MDX44" s="292"/>
      <c r="MDY44" s="291"/>
      <c r="MDZ44" s="292"/>
      <c r="MEA44" s="292"/>
      <c r="MEB44" s="292"/>
      <c r="MEC44" s="291"/>
      <c r="MED44" s="292"/>
      <c r="MEE44" s="292"/>
      <c r="MEF44" s="292"/>
      <c r="MEG44" s="291"/>
      <c r="MEH44" s="292"/>
      <c r="MEI44" s="292"/>
      <c r="MEJ44" s="292"/>
      <c r="MEK44" s="291"/>
      <c r="MEL44" s="292"/>
      <c r="MEM44" s="292"/>
      <c r="MEN44" s="292"/>
      <c r="MEO44" s="291"/>
      <c r="MEP44" s="292"/>
      <c r="MEQ44" s="292"/>
      <c r="MER44" s="292"/>
      <c r="MES44" s="291"/>
      <c r="MET44" s="292"/>
      <c r="MEU44" s="292"/>
      <c r="MEV44" s="292"/>
      <c r="MEW44" s="291"/>
      <c r="MEX44" s="292"/>
      <c r="MEY44" s="292"/>
      <c r="MEZ44" s="292"/>
      <c r="MFA44" s="291"/>
      <c r="MFB44" s="292"/>
      <c r="MFC44" s="292"/>
      <c r="MFD44" s="292"/>
      <c r="MFE44" s="291"/>
      <c r="MFF44" s="292"/>
      <c r="MFG44" s="292"/>
      <c r="MFH44" s="292"/>
      <c r="MFI44" s="291"/>
      <c r="MFJ44" s="292"/>
      <c r="MFK44" s="292"/>
      <c r="MFL44" s="292"/>
      <c r="MFM44" s="291"/>
      <c r="MFN44" s="292"/>
      <c r="MFO44" s="292"/>
      <c r="MFP44" s="292"/>
      <c r="MFQ44" s="291"/>
      <c r="MFR44" s="292"/>
      <c r="MFS44" s="292"/>
      <c r="MFT44" s="292"/>
      <c r="MFU44" s="291"/>
      <c r="MFV44" s="292"/>
      <c r="MFW44" s="292"/>
      <c r="MFX44" s="292"/>
      <c r="MFY44" s="291"/>
      <c r="MFZ44" s="292"/>
      <c r="MGA44" s="292"/>
      <c r="MGB44" s="292"/>
      <c r="MGC44" s="291"/>
      <c r="MGD44" s="292"/>
      <c r="MGE44" s="292"/>
      <c r="MGF44" s="292"/>
      <c r="MGG44" s="291"/>
      <c r="MGH44" s="292"/>
      <c r="MGI44" s="292"/>
      <c r="MGJ44" s="292"/>
      <c r="MGK44" s="291"/>
      <c r="MGL44" s="292"/>
      <c r="MGM44" s="292"/>
      <c r="MGN44" s="292"/>
      <c r="MGO44" s="291"/>
      <c r="MGP44" s="292"/>
      <c r="MGQ44" s="292"/>
      <c r="MGR44" s="292"/>
      <c r="MGS44" s="291"/>
      <c r="MGT44" s="292"/>
      <c r="MGU44" s="292"/>
      <c r="MGV44" s="292"/>
      <c r="MGW44" s="291"/>
      <c r="MGX44" s="292"/>
      <c r="MGY44" s="292"/>
      <c r="MGZ44" s="292"/>
      <c r="MHA44" s="291"/>
      <c r="MHB44" s="292"/>
      <c r="MHC44" s="292"/>
      <c r="MHD44" s="292"/>
      <c r="MHE44" s="291"/>
      <c r="MHF44" s="292"/>
      <c r="MHG44" s="292"/>
      <c r="MHH44" s="292"/>
      <c r="MHI44" s="291"/>
      <c r="MHJ44" s="292"/>
      <c r="MHK44" s="292"/>
      <c r="MHL44" s="292"/>
      <c r="MHM44" s="291"/>
      <c r="MHN44" s="292"/>
      <c r="MHO44" s="292"/>
      <c r="MHP44" s="292"/>
      <c r="MHQ44" s="291"/>
      <c r="MHR44" s="292"/>
      <c r="MHS44" s="292"/>
      <c r="MHT44" s="292"/>
      <c r="MHU44" s="291"/>
      <c r="MHV44" s="292"/>
      <c r="MHW44" s="292"/>
      <c r="MHX44" s="292"/>
      <c r="MHY44" s="291"/>
      <c r="MHZ44" s="292"/>
      <c r="MIA44" s="292"/>
      <c r="MIB44" s="292"/>
      <c r="MIC44" s="291"/>
      <c r="MID44" s="292"/>
      <c r="MIE44" s="292"/>
      <c r="MIF44" s="292"/>
      <c r="MIG44" s="291"/>
      <c r="MIH44" s="292"/>
      <c r="MII44" s="292"/>
      <c r="MIJ44" s="292"/>
      <c r="MIK44" s="291"/>
      <c r="MIL44" s="292"/>
      <c r="MIM44" s="292"/>
      <c r="MIN44" s="292"/>
      <c r="MIO44" s="291"/>
      <c r="MIP44" s="292"/>
      <c r="MIQ44" s="292"/>
      <c r="MIR44" s="292"/>
      <c r="MIS44" s="291"/>
      <c r="MIT44" s="292"/>
      <c r="MIU44" s="292"/>
      <c r="MIV44" s="292"/>
      <c r="MIW44" s="291"/>
      <c r="MIX44" s="292"/>
      <c r="MIY44" s="292"/>
      <c r="MIZ44" s="292"/>
      <c r="MJA44" s="291"/>
      <c r="MJB44" s="292"/>
      <c r="MJC44" s="292"/>
      <c r="MJD44" s="292"/>
      <c r="MJE44" s="291"/>
      <c r="MJF44" s="292"/>
      <c r="MJG44" s="292"/>
      <c r="MJH44" s="292"/>
      <c r="MJI44" s="291"/>
      <c r="MJJ44" s="292"/>
      <c r="MJK44" s="292"/>
      <c r="MJL44" s="292"/>
      <c r="MJM44" s="291"/>
      <c r="MJN44" s="292"/>
      <c r="MJO44" s="292"/>
      <c r="MJP44" s="292"/>
      <c r="MJQ44" s="291"/>
      <c r="MJR44" s="292"/>
      <c r="MJS44" s="292"/>
      <c r="MJT44" s="292"/>
      <c r="MJU44" s="291"/>
      <c r="MJV44" s="292"/>
      <c r="MJW44" s="292"/>
      <c r="MJX44" s="292"/>
      <c r="MJY44" s="291"/>
      <c r="MJZ44" s="292"/>
      <c r="MKA44" s="292"/>
      <c r="MKB44" s="292"/>
      <c r="MKC44" s="291"/>
      <c r="MKD44" s="292"/>
      <c r="MKE44" s="292"/>
      <c r="MKF44" s="292"/>
      <c r="MKG44" s="291"/>
      <c r="MKH44" s="292"/>
      <c r="MKI44" s="292"/>
      <c r="MKJ44" s="292"/>
      <c r="MKK44" s="291"/>
      <c r="MKL44" s="292"/>
      <c r="MKM44" s="292"/>
      <c r="MKN44" s="292"/>
      <c r="MKO44" s="291"/>
      <c r="MKP44" s="292"/>
      <c r="MKQ44" s="292"/>
      <c r="MKR44" s="292"/>
      <c r="MKS44" s="291"/>
      <c r="MKT44" s="292"/>
      <c r="MKU44" s="292"/>
      <c r="MKV44" s="292"/>
      <c r="MKW44" s="291"/>
      <c r="MKX44" s="292"/>
      <c r="MKY44" s="292"/>
      <c r="MKZ44" s="292"/>
      <c r="MLA44" s="291"/>
      <c r="MLB44" s="292"/>
      <c r="MLC44" s="292"/>
      <c r="MLD44" s="292"/>
      <c r="MLE44" s="291"/>
      <c r="MLF44" s="292"/>
      <c r="MLG44" s="292"/>
      <c r="MLH44" s="292"/>
      <c r="MLI44" s="291"/>
      <c r="MLJ44" s="292"/>
      <c r="MLK44" s="292"/>
      <c r="MLL44" s="292"/>
      <c r="MLM44" s="291"/>
      <c r="MLN44" s="292"/>
      <c r="MLO44" s="292"/>
      <c r="MLP44" s="292"/>
      <c r="MLQ44" s="291"/>
      <c r="MLR44" s="292"/>
      <c r="MLS44" s="292"/>
      <c r="MLT44" s="292"/>
      <c r="MLU44" s="291"/>
      <c r="MLV44" s="292"/>
      <c r="MLW44" s="292"/>
      <c r="MLX44" s="292"/>
      <c r="MLY44" s="291"/>
      <c r="MLZ44" s="292"/>
      <c r="MMA44" s="292"/>
      <c r="MMB44" s="292"/>
      <c r="MMC44" s="291"/>
      <c r="MMD44" s="292"/>
      <c r="MME44" s="292"/>
      <c r="MMF44" s="292"/>
      <c r="MMG44" s="291"/>
      <c r="MMH44" s="292"/>
      <c r="MMI44" s="292"/>
      <c r="MMJ44" s="292"/>
      <c r="MMK44" s="291"/>
      <c r="MML44" s="292"/>
      <c r="MMM44" s="292"/>
      <c r="MMN44" s="292"/>
      <c r="MMO44" s="291"/>
      <c r="MMP44" s="292"/>
      <c r="MMQ44" s="292"/>
      <c r="MMR44" s="292"/>
      <c r="MMS44" s="291"/>
      <c r="MMT44" s="292"/>
      <c r="MMU44" s="292"/>
      <c r="MMV44" s="292"/>
      <c r="MMW44" s="291"/>
      <c r="MMX44" s="292"/>
      <c r="MMY44" s="292"/>
      <c r="MMZ44" s="292"/>
      <c r="MNA44" s="291"/>
      <c r="MNB44" s="292"/>
      <c r="MNC44" s="292"/>
      <c r="MND44" s="292"/>
      <c r="MNE44" s="291"/>
      <c r="MNF44" s="292"/>
      <c r="MNG44" s="292"/>
      <c r="MNH44" s="292"/>
      <c r="MNI44" s="291"/>
      <c r="MNJ44" s="292"/>
      <c r="MNK44" s="292"/>
      <c r="MNL44" s="292"/>
      <c r="MNM44" s="291"/>
      <c r="MNN44" s="292"/>
      <c r="MNO44" s="292"/>
      <c r="MNP44" s="292"/>
      <c r="MNQ44" s="291"/>
      <c r="MNR44" s="292"/>
      <c r="MNS44" s="292"/>
      <c r="MNT44" s="292"/>
      <c r="MNU44" s="291"/>
      <c r="MNV44" s="292"/>
      <c r="MNW44" s="292"/>
      <c r="MNX44" s="292"/>
      <c r="MNY44" s="291"/>
      <c r="MNZ44" s="292"/>
      <c r="MOA44" s="292"/>
      <c r="MOB44" s="292"/>
      <c r="MOC44" s="291"/>
      <c r="MOD44" s="292"/>
      <c r="MOE44" s="292"/>
      <c r="MOF44" s="292"/>
      <c r="MOG44" s="291"/>
      <c r="MOH44" s="292"/>
      <c r="MOI44" s="292"/>
      <c r="MOJ44" s="292"/>
      <c r="MOK44" s="291"/>
      <c r="MOL44" s="292"/>
      <c r="MOM44" s="292"/>
      <c r="MON44" s="292"/>
      <c r="MOO44" s="291"/>
      <c r="MOP44" s="292"/>
      <c r="MOQ44" s="292"/>
      <c r="MOR44" s="292"/>
      <c r="MOS44" s="291"/>
      <c r="MOT44" s="292"/>
      <c r="MOU44" s="292"/>
      <c r="MOV44" s="292"/>
      <c r="MOW44" s="291"/>
      <c r="MOX44" s="292"/>
      <c r="MOY44" s="292"/>
      <c r="MOZ44" s="292"/>
      <c r="MPA44" s="291"/>
      <c r="MPB44" s="292"/>
      <c r="MPC44" s="292"/>
      <c r="MPD44" s="292"/>
      <c r="MPE44" s="291"/>
      <c r="MPF44" s="292"/>
      <c r="MPG44" s="292"/>
      <c r="MPH44" s="292"/>
      <c r="MPI44" s="291"/>
      <c r="MPJ44" s="292"/>
      <c r="MPK44" s="292"/>
      <c r="MPL44" s="292"/>
      <c r="MPM44" s="291"/>
      <c r="MPN44" s="292"/>
      <c r="MPO44" s="292"/>
      <c r="MPP44" s="292"/>
      <c r="MPQ44" s="291"/>
      <c r="MPR44" s="292"/>
      <c r="MPS44" s="292"/>
      <c r="MPT44" s="292"/>
      <c r="MPU44" s="291"/>
      <c r="MPV44" s="292"/>
      <c r="MPW44" s="292"/>
      <c r="MPX44" s="292"/>
      <c r="MPY44" s="291"/>
      <c r="MPZ44" s="292"/>
      <c r="MQA44" s="292"/>
      <c r="MQB44" s="292"/>
      <c r="MQC44" s="291"/>
      <c r="MQD44" s="292"/>
      <c r="MQE44" s="292"/>
      <c r="MQF44" s="292"/>
      <c r="MQG44" s="291"/>
      <c r="MQH44" s="292"/>
      <c r="MQI44" s="292"/>
      <c r="MQJ44" s="292"/>
      <c r="MQK44" s="291"/>
      <c r="MQL44" s="292"/>
      <c r="MQM44" s="292"/>
      <c r="MQN44" s="292"/>
      <c r="MQO44" s="291"/>
      <c r="MQP44" s="292"/>
      <c r="MQQ44" s="292"/>
      <c r="MQR44" s="292"/>
      <c r="MQS44" s="291"/>
      <c r="MQT44" s="292"/>
      <c r="MQU44" s="292"/>
      <c r="MQV44" s="292"/>
      <c r="MQW44" s="291"/>
      <c r="MQX44" s="292"/>
      <c r="MQY44" s="292"/>
      <c r="MQZ44" s="292"/>
      <c r="MRA44" s="291"/>
      <c r="MRB44" s="292"/>
      <c r="MRC44" s="292"/>
      <c r="MRD44" s="292"/>
      <c r="MRE44" s="291"/>
      <c r="MRF44" s="292"/>
      <c r="MRG44" s="292"/>
      <c r="MRH44" s="292"/>
      <c r="MRI44" s="291"/>
      <c r="MRJ44" s="292"/>
      <c r="MRK44" s="292"/>
      <c r="MRL44" s="292"/>
      <c r="MRM44" s="291"/>
      <c r="MRN44" s="292"/>
      <c r="MRO44" s="292"/>
      <c r="MRP44" s="292"/>
      <c r="MRQ44" s="291"/>
      <c r="MRR44" s="292"/>
      <c r="MRS44" s="292"/>
      <c r="MRT44" s="292"/>
      <c r="MRU44" s="291"/>
      <c r="MRV44" s="292"/>
      <c r="MRW44" s="292"/>
      <c r="MRX44" s="292"/>
      <c r="MRY44" s="291"/>
      <c r="MRZ44" s="292"/>
      <c r="MSA44" s="292"/>
      <c r="MSB44" s="292"/>
      <c r="MSC44" s="291"/>
      <c r="MSD44" s="292"/>
      <c r="MSE44" s="292"/>
      <c r="MSF44" s="292"/>
      <c r="MSG44" s="291"/>
      <c r="MSH44" s="292"/>
      <c r="MSI44" s="292"/>
      <c r="MSJ44" s="292"/>
      <c r="MSK44" s="291"/>
      <c r="MSL44" s="292"/>
      <c r="MSM44" s="292"/>
      <c r="MSN44" s="292"/>
      <c r="MSO44" s="291"/>
      <c r="MSP44" s="292"/>
      <c r="MSQ44" s="292"/>
      <c r="MSR44" s="292"/>
      <c r="MSS44" s="291"/>
      <c r="MST44" s="292"/>
      <c r="MSU44" s="292"/>
      <c r="MSV44" s="292"/>
      <c r="MSW44" s="291"/>
      <c r="MSX44" s="292"/>
      <c r="MSY44" s="292"/>
      <c r="MSZ44" s="292"/>
      <c r="MTA44" s="291"/>
      <c r="MTB44" s="292"/>
      <c r="MTC44" s="292"/>
      <c r="MTD44" s="292"/>
      <c r="MTE44" s="291"/>
      <c r="MTF44" s="292"/>
      <c r="MTG44" s="292"/>
      <c r="MTH44" s="292"/>
      <c r="MTI44" s="291"/>
      <c r="MTJ44" s="292"/>
      <c r="MTK44" s="292"/>
      <c r="MTL44" s="292"/>
      <c r="MTM44" s="291"/>
      <c r="MTN44" s="292"/>
      <c r="MTO44" s="292"/>
      <c r="MTP44" s="292"/>
      <c r="MTQ44" s="291"/>
      <c r="MTR44" s="292"/>
      <c r="MTS44" s="292"/>
      <c r="MTT44" s="292"/>
      <c r="MTU44" s="291"/>
      <c r="MTV44" s="292"/>
      <c r="MTW44" s="292"/>
      <c r="MTX44" s="292"/>
      <c r="MTY44" s="291"/>
      <c r="MTZ44" s="292"/>
      <c r="MUA44" s="292"/>
      <c r="MUB44" s="292"/>
      <c r="MUC44" s="291"/>
      <c r="MUD44" s="292"/>
      <c r="MUE44" s="292"/>
      <c r="MUF44" s="292"/>
      <c r="MUG44" s="291"/>
      <c r="MUH44" s="292"/>
      <c r="MUI44" s="292"/>
      <c r="MUJ44" s="292"/>
      <c r="MUK44" s="291"/>
      <c r="MUL44" s="292"/>
      <c r="MUM44" s="292"/>
      <c r="MUN44" s="292"/>
      <c r="MUO44" s="291"/>
      <c r="MUP44" s="292"/>
      <c r="MUQ44" s="292"/>
      <c r="MUR44" s="292"/>
      <c r="MUS44" s="291"/>
      <c r="MUT44" s="292"/>
      <c r="MUU44" s="292"/>
      <c r="MUV44" s="292"/>
      <c r="MUW44" s="291"/>
      <c r="MUX44" s="292"/>
      <c r="MUY44" s="292"/>
      <c r="MUZ44" s="292"/>
      <c r="MVA44" s="291"/>
      <c r="MVB44" s="292"/>
      <c r="MVC44" s="292"/>
      <c r="MVD44" s="292"/>
      <c r="MVE44" s="291"/>
      <c r="MVF44" s="292"/>
      <c r="MVG44" s="292"/>
      <c r="MVH44" s="292"/>
      <c r="MVI44" s="291"/>
      <c r="MVJ44" s="292"/>
      <c r="MVK44" s="292"/>
      <c r="MVL44" s="292"/>
      <c r="MVM44" s="291"/>
      <c r="MVN44" s="292"/>
      <c r="MVO44" s="292"/>
      <c r="MVP44" s="292"/>
      <c r="MVQ44" s="291"/>
      <c r="MVR44" s="292"/>
      <c r="MVS44" s="292"/>
      <c r="MVT44" s="292"/>
      <c r="MVU44" s="291"/>
      <c r="MVV44" s="292"/>
      <c r="MVW44" s="292"/>
      <c r="MVX44" s="292"/>
      <c r="MVY44" s="291"/>
      <c r="MVZ44" s="292"/>
      <c r="MWA44" s="292"/>
      <c r="MWB44" s="292"/>
      <c r="MWC44" s="291"/>
      <c r="MWD44" s="292"/>
      <c r="MWE44" s="292"/>
      <c r="MWF44" s="292"/>
      <c r="MWG44" s="291"/>
      <c r="MWH44" s="292"/>
      <c r="MWI44" s="292"/>
      <c r="MWJ44" s="292"/>
      <c r="MWK44" s="291"/>
      <c r="MWL44" s="292"/>
      <c r="MWM44" s="292"/>
      <c r="MWN44" s="292"/>
      <c r="MWO44" s="291"/>
      <c r="MWP44" s="292"/>
      <c r="MWQ44" s="292"/>
      <c r="MWR44" s="292"/>
      <c r="MWS44" s="291"/>
      <c r="MWT44" s="292"/>
      <c r="MWU44" s="292"/>
      <c r="MWV44" s="292"/>
      <c r="MWW44" s="291"/>
      <c r="MWX44" s="292"/>
      <c r="MWY44" s="292"/>
      <c r="MWZ44" s="292"/>
      <c r="MXA44" s="291"/>
      <c r="MXB44" s="292"/>
      <c r="MXC44" s="292"/>
      <c r="MXD44" s="292"/>
      <c r="MXE44" s="291"/>
      <c r="MXF44" s="292"/>
      <c r="MXG44" s="292"/>
      <c r="MXH44" s="292"/>
      <c r="MXI44" s="291"/>
      <c r="MXJ44" s="292"/>
      <c r="MXK44" s="292"/>
      <c r="MXL44" s="292"/>
      <c r="MXM44" s="291"/>
      <c r="MXN44" s="292"/>
      <c r="MXO44" s="292"/>
      <c r="MXP44" s="292"/>
      <c r="MXQ44" s="291"/>
      <c r="MXR44" s="292"/>
      <c r="MXS44" s="292"/>
      <c r="MXT44" s="292"/>
      <c r="MXU44" s="291"/>
      <c r="MXV44" s="292"/>
      <c r="MXW44" s="292"/>
      <c r="MXX44" s="292"/>
      <c r="MXY44" s="291"/>
      <c r="MXZ44" s="292"/>
      <c r="MYA44" s="292"/>
      <c r="MYB44" s="292"/>
      <c r="MYC44" s="291"/>
      <c r="MYD44" s="292"/>
      <c r="MYE44" s="292"/>
      <c r="MYF44" s="292"/>
      <c r="MYG44" s="291"/>
      <c r="MYH44" s="292"/>
      <c r="MYI44" s="292"/>
      <c r="MYJ44" s="292"/>
      <c r="MYK44" s="291"/>
      <c r="MYL44" s="292"/>
      <c r="MYM44" s="292"/>
      <c r="MYN44" s="292"/>
      <c r="MYO44" s="291"/>
      <c r="MYP44" s="292"/>
      <c r="MYQ44" s="292"/>
      <c r="MYR44" s="292"/>
      <c r="MYS44" s="291"/>
      <c r="MYT44" s="292"/>
      <c r="MYU44" s="292"/>
      <c r="MYV44" s="292"/>
      <c r="MYW44" s="291"/>
      <c r="MYX44" s="292"/>
      <c r="MYY44" s="292"/>
      <c r="MYZ44" s="292"/>
      <c r="MZA44" s="291"/>
      <c r="MZB44" s="292"/>
      <c r="MZC44" s="292"/>
      <c r="MZD44" s="292"/>
      <c r="MZE44" s="291"/>
      <c r="MZF44" s="292"/>
      <c r="MZG44" s="292"/>
      <c r="MZH44" s="292"/>
      <c r="MZI44" s="291"/>
      <c r="MZJ44" s="292"/>
      <c r="MZK44" s="292"/>
      <c r="MZL44" s="292"/>
      <c r="MZM44" s="291"/>
      <c r="MZN44" s="292"/>
      <c r="MZO44" s="292"/>
      <c r="MZP44" s="292"/>
      <c r="MZQ44" s="291"/>
      <c r="MZR44" s="292"/>
      <c r="MZS44" s="292"/>
      <c r="MZT44" s="292"/>
      <c r="MZU44" s="291"/>
      <c r="MZV44" s="292"/>
      <c r="MZW44" s="292"/>
      <c r="MZX44" s="292"/>
      <c r="MZY44" s="291"/>
      <c r="MZZ44" s="292"/>
      <c r="NAA44" s="292"/>
      <c r="NAB44" s="292"/>
      <c r="NAC44" s="291"/>
      <c r="NAD44" s="292"/>
      <c r="NAE44" s="292"/>
      <c r="NAF44" s="292"/>
      <c r="NAG44" s="291"/>
      <c r="NAH44" s="292"/>
      <c r="NAI44" s="292"/>
      <c r="NAJ44" s="292"/>
      <c r="NAK44" s="291"/>
      <c r="NAL44" s="292"/>
      <c r="NAM44" s="292"/>
      <c r="NAN44" s="292"/>
      <c r="NAO44" s="291"/>
      <c r="NAP44" s="292"/>
      <c r="NAQ44" s="292"/>
      <c r="NAR44" s="292"/>
      <c r="NAS44" s="291"/>
      <c r="NAT44" s="292"/>
      <c r="NAU44" s="292"/>
      <c r="NAV44" s="292"/>
      <c r="NAW44" s="291"/>
      <c r="NAX44" s="292"/>
      <c r="NAY44" s="292"/>
      <c r="NAZ44" s="292"/>
      <c r="NBA44" s="291"/>
      <c r="NBB44" s="292"/>
      <c r="NBC44" s="292"/>
      <c r="NBD44" s="292"/>
      <c r="NBE44" s="291"/>
      <c r="NBF44" s="292"/>
      <c r="NBG44" s="292"/>
      <c r="NBH44" s="292"/>
      <c r="NBI44" s="291"/>
      <c r="NBJ44" s="292"/>
      <c r="NBK44" s="292"/>
      <c r="NBL44" s="292"/>
      <c r="NBM44" s="291"/>
      <c r="NBN44" s="292"/>
      <c r="NBO44" s="292"/>
      <c r="NBP44" s="292"/>
      <c r="NBQ44" s="291"/>
      <c r="NBR44" s="292"/>
      <c r="NBS44" s="292"/>
      <c r="NBT44" s="292"/>
      <c r="NBU44" s="291"/>
      <c r="NBV44" s="292"/>
      <c r="NBW44" s="292"/>
      <c r="NBX44" s="292"/>
      <c r="NBY44" s="291"/>
      <c r="NBZ44" s="292"/>
      <c r="NCA44" s="292"/>
      <c r="NCB44" s="292"/>
      <c r="NCC44" s="291"/>
      <c r="NCD44" s="292"/>
      <c r="NCE44" s="292"/>
      <c r="NCF44" s="292"/>
      <c r="NCG44" s="291"/>
      <c r="NCH44" s="292"/>
      <c r="NCI44" s="292"/>
      <c r="NCJ44" s="292"/>
      <c r="NCK44" s="291"/>
      <c r="NCL44" s="292"/>
      <c r="NCM44" s="292"/>
      <c r="NCN44" s="292"/>
      <c r="NCO44" s="291"/>
      <c r="NCP44" s="292"/>
      <c r="NCQ44" s="292"/>
      <c r="NCR44" s="292"/>
      <c r="NCS44" s="291"/>
      <c r="NCT44" s="292"/>
      <c r="NCU44" s="292"/>
      <c r="NCV44" s="292"/>
      <c r="NCW44" s="291"/>
      <c r="NCX44" s="292"/>
      <c r="NCY44" s="292"/>
      <c r="NCZ44" s="292"/>
      <c r="NDA44" s="291"/>
      <c r="NDB44" s="292"/>
      <c r="NDC44" s="292"/>
      <c r="NDD44" s="292"/>
      <c r="NDE44" s="291"/>
      <c r="NDF44" s="292"/>
      <c r="NDG44" s="292"/>
      <c r="NDH44" s="292"/>
      <c r="NDI44" s="291"/>
      <c r="NDJ44" s="292"/>
      <c r="NDK44" s="292"/>
      <c r="NDL44" s="292"/>
      <c r="NDM44" s="291"/>
      <c r="NDN44" s="292"/>
      <c r="NDO44" s="292"/>
      <c r="NDP44" s="292"/>
      <c r="NDQ44" s="291"/>
      <c r="NDR44" s="292"/>
      <c r="NDS44" s="292"/>
      <c r="NDT44" s="292"/>
      <c r="NDU44" s="291"/>
      <c r="NDV44" s="292"/>
      <c r="NDW44" s="292"/>
      <c r="NDX44" s="292"/>
      <c r="NDY44" s="291"/>
      <c r="NDZ44" s="292"/>
      <c r="NEA44" s="292"/>
      <c r="NEB44" s="292"/>
      <c r="NEC44" s="291"/>
      <c r="NED44" s="292"/>
      <c r="NEE44" s="292"/>
      <c r="NEF44" s="292"/>
      <c r="NEG44" s="291"/>
      <c r="NEH44" s="292"/>
      <c r="NEI44" s="292"/>
      <c r="NEJ44" s="292"/>
      <c r="NEK44" s="291"/>
      <c r="NEL44" s="292"/>
      <c r="NEM44" s="292"/>
      <c r="NEN44" s="292"/>
      <c r="NEO44" s="291"/>
      <c r="NEP44" s="292"/>
      <c r="NEQ44" s="292"/>
      <c r="NER44" s="292"/>
      <c r="NES44" s="291"/>
      <c r="NET44" s="292"/>
      <c r="NEU44" s="292"/>
      <c r="NEV44" s="292"/>
      <c r="NEW44" s="291"/>
      <c r="NEX44" s="292"/>
      <c r="NEY44" s="292"/>
      <c r="NEZ44" s="292"/>
      <c r="NFA44" s="291"/>
      <c r="NFB44" s="292"/>
      <c r="NFC44" s="292"/>
      <c r="NFD44" s="292"/>
      <c r="NFE44" s="291"/>
      <c r="NFF44" s="292"/>
      <c r="NFG44" s="292"/>
      <c r="NFH44" s="292"/>
      <c r="NFI44" s="291"/>
      <c r="NFJ44" s="292"/>
      <c r="NFK44" s="292"/>
      <c r="NFL44" s="292"/>
      <c r="NFM44" s="291"/>
      <c r="NFN44" s="292"/>
      <c r="NFO44" s="292"/>
      <c r="NFP44" s="292"/>
      <c r="NFQ44" s="291"/>
      <c r="NFR44" s="292"/>
      <c r="NFS44" s="292"/>
      <c r="NFT44" s="292"/>
      <c r="NFU44" s="291"/>
      <c r="NFV44" s="292"/>
      <c r="NFW44" s="292"/>
      <c r="NFX44" s="292"/>
      <c r="NFY44" s="291"/>
      <c r="NFZ44" s="292"/>
      <c r="NGA44" s="292"/>
      <c r="NGB44" s="292"/>
      <c r="NGC44" s="291"/>
      <c r="NGD44" s="292"/>
      <c r="NGE44" s="292"/>
      <c r="NGF44" s="292"/>
      <c r="NGG44" s="291"/>
      <c r="NGH44" s="292"/>
      <c r="NGI44" s="292"/>
      <c r="NGJ44" s="292"/>
      <c r="NGK44" s="291"/>
      <c r="NGL44" s="292"/>
      <c r="NGM44" s="292"/>
      <c r="NGN44" s="292"/>
      <c r="NGO44" s="291"/>
      <c r="NGP44" s="292"/>
      <c r="NGQ44" s="292"/>
      <c r="NGR44" s="292"/>
      <c r="NGS44" s="291"/>
      <c r="NGT44" s="292"/>
      <c r="NGU44" s="292"/>
      <c r="NGV44" s="292"/>
      <c r="NGW44" s="291"/>
      <c r="NGX44" s="292"/>
      <c r="NGY44" s="292"/>
      <c r="NGZ44" s="292"/>
      <c r="NHA44" s="291"/>
      <c r="NHB44" s="292"/>
      <c r="NHC44" s="292"/>
      <c r="NHD44" s="292"/>
      <c r="NHE44" s="291"/>
      <c r="NHF44" s="292"/>
      <c r="NHG44" s="292"/>
      <c r="NHH44" s="292"/>
      <c r="NHI44" s="291"/>
      <c r="NHJ44" s="292"/>
      <c r="NHK44" s="292"/>
      <c r="NHL44" s="292"/>
      <c r="NHM44" s="291"/>
      <c r="NHN44" s="292"/>
      <c r="NHO44" s="292"/>
      <c r="NHP44" s="292"/>
      <c r="NHQ44" s="291"/>
      <c r="NHR44" s="292"/>
      <c r="NHS44" s="292"/>
      <c r="NHT44" s="292"/>
      <c r="NHU44" s="291"/>
      <c r="NHV44" s="292"/>
      <c r="NHW44" s="292"/>
      <c r="NHX44" s="292"/>
      <c r="NHY44" s="291"/>
      <c r="NHZ44" s="292"/>
      <c r="NIA44" s="292"/>
      <c r="NIB44" s="292"/>
      <c r="NIC44" s="291"/>
      <c r="NID44" s="292"/>
      <c r="NIE44" s="292"/>
      <c r="NIF44" s="292"/>
      <c r="NIG44" s="291"/>
      <c r="NIH44" s="292"/>
      <c r="NII44" s="292"/>
      <c r="NIJ44" s="292"/>
      <c r="NIK44" s="291"/>
      <c r="NIL44" s="292"/>
      <c r="NIM44" s="292"/>
      <c r="NIN44" s="292"/>
      <c r="NIO44" s="291"/>
      <c r="NIP44" s="292"/>
      <c r="NIQ44" s="292"/>
      <c r="NIR44" s="292"/>
      <c r="NIS44" s="291"/>
      <c r="NIT44" s="292"/>
      <c r="NIU44" s="292"/>
      <c r="NIV44" s="292"/>
      <c r="NIW44" s="291"/>
      <c r="NIX44" s="292"/>
      <c r="NIY44" s="292"/>
      <c r="NIZ44" s="292"/>
      <c r="NJA44" s="291"/>
      <c r="NJB44" s="292"/>
      <c r="NJC44" s="292"/>
      <c r="NJD44" s="292"/>
      <c r="NJE44" s="291"/>
      <c r="NJF44" s="292"/>
      <c r="NJG44" s="292"/>
      <c r="NJH44" s="292"/>
      <c r="NJI44" s="291"/>
      <c r="NJJ44" s="292"/>
      <c r="NJK44" s="292"/>
      <c r="NJL44" s="292"/>
      <c r="NJM44" s="291"/>
      <c r="NJN44" s="292"/>
      <c r="NJO44" s="292"/>
      <c r="NJP44" s="292"/>
      <c r="NJQ44" s="291"/>
      <c r="NJR44" s="292"/>
      <c r="NJS44" s="292"/>
      <c r="NJT44" s="292"/>
      <c r="NJU44" s="291"/>
      <c r="NJV44" s="292"/>
      <c r="NJW44" s="292"/>
      <c r="NJX44" s="292"/>
      <c r="NJY44" s="291"/>
      <c r="NJZ44" s="292"/>
      <c r="NKA44" s="292"/>
      <c r="NKB44" s="292"/>
      <c r="NKC44" s="291"/>
      <c r="NKD44" s="292"/>
      <c r="NKE44" s="292"/>
      <c r="NKF44" s="292"/>
      <c r="NKG44" s="291"/>
      <c r="NKH44" s="292"/>
      <c r="NKI44" s="292"/>
      <c r="NKJ44" s="292"/>
      <c r="NKK44" s="291"/>
      <c r="NKL44" s="292"/>
      <c r="NKM44" s="292"/>
      <c r="NKN44" s="292"/>
      <c r="NKO44" s="291"/>
      <c r="NKP44" s="292"/>
      <c r="NKQ44" s="292"/>
      <c r="NKR44" s="292"/>
      <c r="NKS44" s="291"/>
      <c r="NKT44" s="292"/>
      <c r="NKU44" s="292"/>
      <c r="NKV44" s="292"/>
      <c r="NKW44" s="291"/>
      <c r="NKX44" s="292"/>
      <c r="NKY44" s="292"/>
      <c r="NKZ44" s="292"/>
      <c r="NLA44" s="291"/>
      <c r="NLB44" s="292"/>
      <c r="NLC44" s="292"/>
      <c r="NLD44" s="292"/>
      <c r="NLE44" s="291"/>
      <c r="NLF44" s="292"/>
      <c r="NLG44" s="292"/>
      <c r="NLH44" s="292"/>
      <c r="NLI44" s="291"/>
      <c r="NLJ44" s="292"/>
      <c r="NLK44" s="292"/>
      <c r="NLL44" s="292"/>
      <c r="NLM44" s="291"/>
      <c r="NLN44" s="292"/>
      <c r="NLO44" s="292"/>
      <c r="NLP44" s="292"/>
      <c r="NLQ44" s="291"/>
      <c r="NLR44" s="292"/>
      <c r="NLS44" s="292"/>
      <c r="NLT44" s="292"/>
      <c r="NLU44" s="291"/>
      <c r="NLV44" s="292"/>
      <c r="NLW44" s="292"/>
      <c r="NLX44" s="292"/>
      <c r="NLY44" s="291"/>
      <c r="NLZ44" s="292"/>
      <c r="NMA44" s="292"/>
      <c r="NMB44" s="292"/>
      <c r="NMC44" s="291"/>
      <c r="NMD44" s="292"/>
      <c r="NME44" s="292"/>
      <c r="NMF44" s="292"/>
      <c r="NMG44" s="291"/>
      <c r="NMH44" s="292"/>
      <c r="NMI44" s="292"/>
      <c r="NMJ44" s="292"/>
      <c r="NMK44" s="291"/>
      <c r="NML44" s="292"/>
      <c r="NMM44" s="292"/>
      <c r="NMN44" s="292"/>
      <c r="NMO44" s="291"/>
      <c r="NMP44" s="292"/>
      <c r="NMQ44" s="292"/>
      <c r="NMR44" s="292"/>
      <c r="NMS44" s="291"/>
      <c r="NMT44" s="292"/>
      <c r="NMU44" s="292"/>
      <c r="NMV44" s="292"/>
      <c r="NMW44" s="291"/>
      <c r="NMX44" s="292"/>
      <c r="NMY44" s="292"/>
      <c r="NMZ44" s="292"/>
      <c r="NNA44" s="291"/>
      <c r="NNB44" s="292"/>
      <c r="NNC44" s="292"/>
      <c r="NND44" s="292"/>
      <c r="NNE44" s="291"/>
      <c r="NNF44" s="292"/>
      <c r="NNG44" s="292"/>
      <c r="NNH44" s="292"/>
      <c r="NNI44" s="291"/>
      <c r="NNJ44" s="292"/>
      <c r="NNK44" s="292"/>
      <c r="NNL44" s="292"/>
      <c r="NNM44" s="291"/>
      <c r="NNN44" s="292"/>
      <c r="NNO44" s="292"/>
      <c r="NNP44" s="292"/>
      <c r="NNQ44" s="291"/>
      <c r="NNR44" s="292"/>
      <c r="NNS44" s="292"/>
      <c r="NNT44" s="292"/>
      <c r="NNU44" s="291"/>
      <c r="NNV44" s="292"/>
      <c r="NNW44" s="292"/>
      <c r="NNX44" s="292"/>
      <c r="NNY44" s="291"/>
      <c r="NNZ44" s="292"/>
      <c r="NOA44" s="292"/>
      <c r="NOB44" s="292"/>
      <c r="NOC44" s="291"/>
      <c r="NOD44" s="292"/>
      <c r="NOE44" s="292"/>
      <c r="NOF44" s="292"/>
      <c r="NOG44" s="291"/>
      <c r="NOH44" s="292"/>
      <c r="NOI44" s="292"/>
      <c r="NOJ44" s="292"/>
      <c r="NOK44" s="291"/>
      <c r="NOL44" s="292"/>
      <c r="NOM44" s="292"/>
      <c r="NON44" s="292"/>
      <c r="NOO44" s="291"/>
      <c r="NOP44" s="292"/>
      <c r="NOQ44" s="292"/>
      <c r="NOR44" s="292"/>
      <c r="NOS44" s="291"/>
      <c r="NOT44" s="292"/>
      <c r="NOU44" s="292"/>
      <c r="NOV44" s="292"/>
      <c r="NOW44" s="291"/>
      <c r="NOX44" s="292"/>
      <c r="NOY44" s="292"/>
      <c r="NOZ44" s="292"/>
      <c r="NPA44" s="291"/>
      <c r="NPB44" s="292"/>
      <c r="NPC44" s="292"/>
      <c r="NPD44" s="292"/>
      <c r="NPE44" s="291"/>
      <c r="NPF44" s="292"/>
      <c r="NPG44" s="292"/>
      <c r="NPH44" s="292"/>
      <c r="NPI44" s="291"/>
      <c r="NPJ44" s="292"/>
      <c r="NPK44" s="292"/>
      <c r="NPL44" s="292"/>
      <c r="NPM44" s="291"/>
      <c r="NPN44" s="292"/>
      <c r="NPO44" s="292"/>
      <c r="NPP44" s="292"/>
      <c r="NPQ44" s="291"/>
      <c r="NPR44" s="292"/>
      <c r="NPS44" s="292"/>
      <c r="NPT44" s="292"/>
      <c r="NPU44" s="291"/>
      <c r="NPV44" s="292"/>
      <c r="NPW44" s="292"/>
      <c r="NPX44" s="292"/>
      <c r="NPY44" s="291"/>
      <c r="NPZ44" s="292"/>
      <c r="NQA44" s="292"/>
      <c r="NQB44" s="292"/>
      <c r="NQC44" s="291"/>
      <c r="NQD44" s="292"/>
      <c r="NQE44" s="292"/>
      <c r="NQF44" s="292"/>
      <c r="NQG44" s="291"/>
      <c r="NQH44" s="292"/>
      <c r="NQI44" s="292"/>
      <c r="NQJ44" s="292"/>
      <c r="NQK44" s="291"/>
      <c r="NQL44" s="292"/>
      <c r="NQM44" s="292"/>
      <c r="NQN44" s="292"/>
      <c r="NQO44" s="291"/>
      <c r="NQP44" s="292"/>
      <c r="NQQ44" s="292"/>
      <c r="NQR44" s="292"/>
      <c r="NQS44" s="291"/>
      <c r="NQT44" s="292"/>
      <c r="NQU44" s="292"/>
      <c r="NQV44" s="292"/>
      <c r="NQW44" s="291"/>
      <c r="NQX44" s="292"/>
      <c r="NQY44" s="292"/>
      <c r="NQZ44" s="292"/>
      <c r="NRA44" s="291"/>
      <c r="NRB44" s="292"/>
      <c r="NRC44" s="292"/>
      <c r="NRD44" s="292"/>
      <c r="NRE44" s="291"/>
      <c r="NRF44" s="292"/>
      <c r="NRG44" s="292"/>
      <c r="NRH44" s="292"/>
      <c r="NRI44" s="291"/>
      <c r="NRJ44" s="292"/>
      <c r="NRK44" s="292"/>
      <c r="NRL44" s="292"/>
      <c r="NRM44" s="291"/>
      <c r="NRN44" s="292"/>
      <c r="NRO44" s="292"/>
      <c r="NRP44" s="292"/>
      <c r="NRQ44" s="291"/>
      <c r="NRR44" s="292"/>
      <c r="NRS44" s="292"/>
      <c r="NRT44" s="292"/>
      <c r="NRU44" s="291"/>
      <c r="NRV44" s="292"/>
      <c r="NRW44" s="292"/>
      <c r="NRX44" s="292"/>
      <c r="NRY44" s="291"/>
      <c r="NRZ44" s="292"/>
      <c r="NSA44" s="292"/>
      <c r="NSB44" s="292"/>
      <c r="NSC44" s="291"/>
      <c r="NSD44" s="292"/>
      <c r="NSE44" s="292"/>
      <c r="NSF44" s="292"/>
      <c r="NSG44" s="291"/>
      <c r="NSH44" s="292"/>
      <c r="NSI44" s="292"/>
      <c r="NSJ44" s="292"/>
      <c r="NSK44" s="291"/>
      <c r="NSL44" s="292"/>
      <c r="NSM44" s="292"/>
      <c r="NSN44" s="292"/>
      <c r="NSO44" s="291"/>
      <c r="NSP44" s="292"/>
      <c r="NSQ44" s="292"/>
      <c r="NSR44" s="292"/>
      <c r="NSS44" s="291"/>
      <c r="NST44" s="292"/>
      <c r="NSU44" s="292"/>
      <c r="NSV44" s="292"/>
      <c r="NSW44" s="291"/>
      <c r="NSX44" s="292"/>
      <c r="NSY44" s="292"/>
      <c r="NSZ44" s="292"/>
      <c r="NTA44" s="291"/>
      <c r="NTB44" s="292"/>
      <c r="NTC44" s="292"/>
      <c r="NTD44" s="292"/>
      <c r="NTE44" s="291"/>
      <c r="NTF44" s="292"/>
      <c r="NTG44" s="292"/>
      <c r="NTH44" s="292"/>
      <c r="NTI44" s="291"/>
      <c r="NTJ44" s="292"/>
      <c r="NTK44" s="292"/>
      <c r="NTL44" s="292"/>
      <c r="NTM44" s="291"/>
      <c r="NTN44" s="292"/>
      <c r="NTO44" s="292"/>
      <c r="NTP44" s="292"/>
      <c r="NTQ44" s="291"/>
      <c r="NTR44" s="292"/>
      <c r="NTS44" s="292"/>
      <c r="NTT44" s="292"/>
      <c r="NTU44" s="291"/>
      <c r="NTV44" s="292"/>
      <c r="NTW44" s="292"/>
      <c r="NTX44" s="292"/>
      <c r="NTY44" s="291"/>
      <c r="NTZ44" s="292"/>
      <c r="NUA44" s="292"/>
      <c r="NUB44" s="292"/>
      <c r="NUC44" s="291"/>
      <c r="NUD44" s="292"/>
      <c r="NUE44" s="292"/>
      <c r="NUF44" s="292"/>
      <c r="NUG44" s="291"/>
      <c r="NUH44" s="292"/>
      <c r="NUI44" s="292"/>
      <c r="NUJ44" s="292"/>
      <c r="NUK44" s="291"/>
      <c r="NUL44" s="292"/>
      <c r="NUM44" s="292"/>
      <c r="NUN44" s="292"/>
      <c r="NUO44" s="291"/>
      <c r="NUP44" s="292"/>
      <c r="NUQ44" s="292"/>
      <c r="NUR44" s="292"/>
      <c r="NUS44" s="291"/>
      <c r="NUT44" s="292"/>
      <c r="NUU44" s="292"/>
      <c r="NUV44" s="292"/>
      <c r="NUW44" s="291"/>
      <c r="NUX44" s="292"/>
      <c r="NUY44" s="292"/>
      <c r="NUZ44" s="292"/>
      <c r="NVA44" s="291"/>
      <c r="NVB44" s="292"/>
      <c r="NVC44" s="292"/>
      <c r="NVD44" s="292"/>
      <c r="NVE44" s="291"/>
      <c r="NVF44" s="292"/>
      <c r="NVG44" s="292"/>
      <c r="NVH44" s="292"/>
      <c r="NVI44" s="291"/>
      <c r="NVJ44" s="292"/>
      <c r="NVK44" s="292"/>
      <c r="NVL44" s="292"/>
      <c r="NVM44" s="291"/>
      <c r="NVN44" s="292"/>
      <c r="NVO44" s="292"/>
      <c r="NVP44" s="292"/>
      <c r="NVQ44" s="291"/>
      <c r="NVR44" s="292"/>
      <c r="NVS44" s="292"/>
      <c r="NVT44" s="292"/>
      <c r="NVU44" s="291"/>
      <c r="NVV44" s="292"/>
      <c r="NVW44" s="292"/>
      <c r="NVX44" s="292"/>
      <c r="NVY44" s="291"/>
      <c r="NVZ44" s="292"/>
      <c r="NWA44" s="292"/>
      <c r="NWB44" s="292"/>
      <c r="NWC44" s="291"/>
      <c r="NWD44" s="292"/>
      <c r="NWE44" s="292"/>
      <c r="NWF44" s="292"/>
      <c r="NWG44" s="291"/>
      <c r="NWH44" s="292"/>
      <c r="NWI44" s="292"/>
      <c r="NWJ44" s="292"/>
      <c r="NWK44" s="291"/>
      <c r="NWL44" s="292"/>
      <c r="NWM44" s="292"/>
      <c r="NWN44" s="292"/>
      <c r="NWO44" s="291"/>
      <c r="NWP44" s="292"/>
      <c r="NWQ44" s="292"/>
      <c r="NWR44" s="292"/>
      <c r="NWS44" s="291"/>
      <c r="NWT44" s="292"/>
      <c r="NWU44" s="292"/>
      <c r="NWV44" s="292"/>
      <c r="NWW44" s="291"/>
      <c r="NWX44" s="292"/>
      <c r="NWY44" s="292"/>
      <c r="NWZ44" s="292"/>
      <c r="NXA44" s="291"/>
      <c r="NXB44" s="292"/>
      <c r="NXC44" s="292"/>
      <c r="NXD44" s="292"/>
      <c r="NXE44" s="291"/>
      <c r="NXF44" s="292"/>
      <c r="NXG44" s="292"/>
      <c r="NXH44" s="292"/>
      <c r="NXI44" s="291"/>
      <c r="NXJ44" s="292"/>
      <c r="NXK44" s="292"/>
      <c r="NXL44" s="292"/>
      <c r="NXM44" s="291"/>
      <c r="NXN44" s="292"/>
      <c r="NXO44" s="292"/>
      <c r="NXP44" s="292"/>
      <c r="NXQ44" s="291"/>
      <c r="NXR44" s="292"/>
      <c r="NXS44" s="292"/>
      <c r="NXT44" s="292"/>
      <c r="NXU44" s="291"/>
      <c r="NXV44" s="292"/>
      <c r="NXW44" s="292"/>
      <c r="NXX44" s="292"/>
      <c r="NXY44" s="291"/>
      <c r="NXZ44" s="292"/>
      <c r="NYA44" s="292"/>
      <c r="NYB44" s="292"/>
      <c r="NYC44" s="291"/>
      <c r="NYD44" s="292"/>
      <c r="NYE44" s="292"/>
      <c r="NYF44" s="292"/>
      <c r="NYG44" s="291"/>
      <c r="NYH44" s="292"/>
      <c r="NYI44" s="292"/>
      <c r="NYJ44" s="292"/>
      <c r="NYK44" s="291"/>
      <c r="NYL44" s="292"/>
      <c r="NYM44" s="292"/>
      <c r="NYN44" s="292"/>
      <c r="NYO44" s="291"/>
      <c r="NYP44" s="292"/>
      <c r="NYQ44" s="292"/>
      <c r="NYR44" s="292"/>
      <c r="NYS44" s="291"/>
      <c r="NYT44" s="292"/>
      <c r="NYU44" s="292"/>
      <c r="NYV44" s="292"/>
      <c r="NYW44" s="291"/>
      <c r="NYX44" s="292"/>
      <c r="NYY44" s="292"/>
      <c r="NYZ44" s="292"/>
      <c r="NZA44" s="291"/>
      <c r="NZB44" s="292"/>
      <c r="NZC44" s="292"/>
      <c r="NZD44" s="292"/>
      <c r="NZE44" s="291"/>
      <c r="NZF44" s="292"/>
      <c r="NZG44" s="292"/>
      <c r="NZH44" s="292"/>
      <c r="NZI44" s="291"/>
      <c r="NZJ44" s="292"/>
      <c r="NZK44" s="292"/>
      <c r="NZL44" s="292"/>
      <c r="NZM44" s="291"/>
      <c r="NZN44" s="292"/>
      <c r="NZO44" s="292"/>
      <c r="NZP44" s="292"/>
      <c r="NZQ44" s="291"/>
      <c r="NZR44" s="292"/>
      <c r="NZS44" s="292"/>
      <c r="NZT44" s="292"/>
      <c r="NZU44" s="291"/>
      <c r="NZV44" s="292"/>
      <c r="NZW44" s="292"/>
      <c r="NZX44" s="292"/>
      <c r="NZY44" s="291"/>
      <c r="NZZ44" s="292"/>
      <c r="OAA44" s="292"/>
      <c r="OAB44" s="292"/>
      <c r="OAC44" s="291"/>
      <c r="OAD44" s="292"/>
      <c r="OAE44" s="292"/>
      <c r="OAF44" s="292"/>
      <c r="OAG44" s="291"/>
      <c r="OAH44" s="292"/>
      <c r="OAI44" s="292"/>
      <c r="OAJ44" s="292"/>
      <c r="OAK44" s="291"/>
      <c r="OAL44" s="292"/>
      <c r="OAM44" s="292"/>
      <c r="OAN44" s="292"/>
      <c r="OAO44" s="291"/>
      <c r="OAP44" s="292"/>
      <c r="OAQ44" s="292"/>
      <c r="OAR44" s="292"/>
      <c r="OAS44" s="291"/>
      <c r="OAT44" s="292"/>
      <c r="OAU44" s="292"/>
      <c r="OAV44" s="292"/>
      <c r="OAW44" s="291"/>
      <c r="OAX44" s="292"/>
      <c r="OAY44" s="292"/>
      <c r="OAZ44" s="292"/>
      <c r="OBA44" s="291"/>
      <c r="OBB44" s="292"/>
      <c r="OBC44" s="292"/>
      <c r="OBD44" s="292"/>
      <c r="OBE44" s="291"/>
      <c r="OBF44" s="292"/>
      <c r="OBG44" s="292"/>
      <c r="OBH44" s="292"/>
      <c r="OBI44" s="291"/>
      <c r="OBJ44" s="292"/>
      <c r="OBK44" s="292"/>
      <c r="OBL44" s="292"/>
      <c r="OBM44" s="291"/>
      <c r="OBN44" s="292"/>
      <c r="OBO44" s="292"/>
      <c r="OBP44" s="292"/>
      <c r="OBQ44" s="291"/>
      <c r="OBR44" s="292"/>
      <c r="OBS44" s="292"/>
      <c r="OBT44" s="292"/>
      <c r="OBU44" s="291"/>
      <c r="OBV44" s="292"/>
      <c r="OBW44" s="292"/>
      <c r="OBX44" s="292"/>
      <c r="OBY44" s="291"/>
      <c r="OBZ44" s="292"/>
      <c r="OCA44" s="292"/>
      <c r="OCB44" s="292"/>
      <c r="OCC44" s="291"/>
      <c r="OCD44" s="292"/>
      <c r="OCE44" s="292"/>
      <c r="OCF44" s="292"/>
      <c r="OCG44" s="291"/>
      <c r="OCH44" s="292"/>
      <c r="OCI44" s="292"/>
      <c r="OCJ44" s="292"/>
      <c r="OCK44" s="291"/>
      <c r="OCL44" s="292"/>
      <c r="OCM44" s="292"/>
      <c r="OCN44" s="292"/>
      <c r="OCO44" s="291"/>
      <c r="OCP44" s="292"/>
      <c r="OCQ44" s="292"/>
      <c r="OCR44" s="292"/>
      <c r="OCS44" s="291"/>
      <c r="OCT44" s="292"/>
      <c r="OCU44" s="292"/>
      <c r="OCV44" s="292"/>
      <c r="OCW44" s="291"/>
      <c r="OCX44" s="292"/>
      <c r="OCY44" s="292"/>
      <c r="OCZ44" s="292"/>
      <c r="ODA44" s="291"/>
      <c r="ODB44" s="292"/>
      <c r="ODC44" s="292"/>
      <c r="ODD44" s="292"/>
      <c r="ODE44" s="291"/>
      <c r="ODF44" s="292"/>
      <c r="ODG44" s="292"/>
      <c r="ODH44" s="292"/>
      <c r="ODI44" s="291"/>
      <c r="ODJ44" s="292"/>
      <c r="ODK44" s="292"/>
      <c r="ODL44" s="292"/>
      <c r="ODM44" s="291"/>
      <c r="ODN44" s="292"/>
      <c r="ODO44" s="292"/>
      <c r="ODP44" s="292"/>
      <c r="ODQ44" s="291"/>
      <c r="ODR44" s="292"/>
      <c r="ODS44" s="292"/>
      <c r="ODT44" s="292"/>
      <c r="ODU44" s="291"/>
      <c r="ODV44" s="292"/>
      <c r="ODW44" s="292"/>
      <c r="ODX44" s="292"/>
      <c r="ODY44" s="291"/>
      <c r="ODZ44" s="292"/>
      <c r="OEA44" s="292"/>
      <c r="OEB44" s="292"/>
      <c r="OEC44" s="291"/>
      <c r="OED44" s="292"/>
      <c r="OEE44" s="292"/>
      <c r="OEF44" s="292"/>
      <c r="OEG44" s="291"/>
      <c r="OEH44" s="292"/>
      <c r="OEI44" s="292"/>
      <c r="OEJ44" s="292"/>
      <c r="OEK44" s="291"/>
      <c r="OEL44" s="292"/>
      <c r="OEM44" s="292"/>
      <c r="OEN44" s="292"/>
      <c r="OEO44" s="291"/>
      <c r="OEP44" s="292"/>
      <c r="OEQ44" s="292"/>
      <c r="OER44" s="292"/>
      <c r="OES44" s="291"/>
      <c r="OET44" s="292"/>
      <c r="OEU44" s="292"/>
      <c r="OEV44" s="292"/>
      <c r="OEW44" s="291"/>
      <c r="OEX44" s="292"/>
      <c r="OEY44" s="292"/>
      <c r="OEZ44" s="292"/>
      <c r="OFA44" s="291"/>
      <c r="OFB44" s="292"/>
      <c r="OFC44" s="292"/>
      <c r="OFD44" s="292"/>
      <c r="OFE44" s="291"/>
      <c r="OFF44" s="292"/>
      <c r="OFG44" s="292"/>
      <c r="OFH44" s="292"/>
      <c r="OFI44" s="291"/>
      <c r="OFJ44" s="292"/>
      <c r="OFK44" s="292"/>
      <c r="OFL44" s="292"/>
      <c r="OFM44" s="291"/>
      <c r="OFN44" s="292"/>
      <c r="OFO44" s="292"/>
      <c r="OFP44" s="292"/>
      <c r="OFQ44" s="291"/>
      <c r="OFR44" s="292"/>
      <c r="OFS44" s="292"/>
      <c r="OFT44" s="292"/>
      <c r="OFU44" s="291"/>
      <c r="OFV44" s="292"/>
      <c r="OFW44" s="292"/>
      <c r="OFX44" s="292"/>
      <c r="OFY44" s="291"/>
      <c r="OFZ44" s="292"/>
      <c r="OGA44" s="292"/>
      <c r="OGB44" s="292"/>
      <c r="OGC44" s="291"/>
      <c r="OGD44" s="292"/>
      <c r="OGE44" s="292"/>
      <c r="OGF44" s="292"/>
      <c r="OGG44" s="291"/>
      <c r="OGH44" s="292"/>
      <c r="OGI44" s="292"/>
      <c r="OGJ44" s="292"/>
      <c r="OGK44" s="291"/>
      <c r="OGL44" s="292"/>
      <c r="OGM44" s="292"/>
      <c r="OGN44" s="292"/>
      <c r="OGO44" s="291"/>
      <c r="OGP44" s="292"/>
      <c r="OGQ44" s="292"/>
      <c r="OGR44" s="292"/>
      <c r="OGS44" s="291"/>
      <c r="OGT44" s="292"/>
      <c r="OGU44" s="292"/>
      <c r="OGV44" s="292"/>
      <c r="OGW44" s="291"/>
      <c r="OGX44" s="292"/>
      <c r="OGY44" s="292"/>
      <c r="OGZ44" s="292"/>
      <c r="OHA44" s="291"/>
      <c r="OHB44" s="292"/>
      <c r="OHC44" s="292"/>
      <c r="OHD44" s="292"/>
      <c r="OHE44" s="291"/>
      <c r="OHF44" s="292"/>
      <c r="OHG44" s="292"/>
      <c r="OHH44" s="292"/>
      <c r="OHI44" s="291"/>
      <c r="OHJ44" s="292"/>
      <c r="OHK44" s="292"/>
      <c r="OHL44" s="292"/>
      <c r="OHM44" s="291"/>
      <c r="OHN44" s="292"/>
      <c r="OHO44" s="292"/>
      <c r="OHP44" s="292"/>
      <c r="OHQ44" s="291"/>
      <c r="OHR44" s="292"/>
      <c r="OHS44" s="292"/>
      <c r="OHT44" s="292"/>
      <c r="OHU44" s="291"/>
      <c r="OHV44" s="292"/>
      <c r="OHW44" s="292"/>
      <c r="OHX44" s="292"/>
      <c r="OHY44" s="291"/>
      <c r="OHZ44" s="292"/>
      <c r="OIA44" s="292"/>
      <c r="OIB44" s="292"/>
      <c r="OIC44" s="291"/>
      <c r="OID44" s="292"/>
      <c r="OIE44" s="292"/>
      <c r="OIF44" s="292"/>
      <c r="OIG44" s="291"/>
      <c r="OIH44" s="292"/>
      <c r="OII44" s="292"/>
      <c r="OIJ44" s="292"/>
      <c r="OIK44" s="291"/>
      <c r="OIL44" s="292"/>
      <c r="OIM44" s="292"/>
      <c r="OIN44" s="292"/>
      <c r="OIO44" s="291"/>
      <c r="OIP44" s="292"/>
      <c r="OIQ44" s="292"/>
      <c r="OIR44" s="292"/>
      <c r="OIS44" s="291"/>
      <c r="OIT44" s="292"/>
      <c r="OIU44" s="292"/>
      <c r="OIV44" s="292"/>
      <c r="OIW44" s="291"/>
      <c r="OIX44" s="292"/>
      <c r="OIY44" s="292"/>
      <c r="OIZ44" s="292"/>
      <c r="OJA44" s="291"/>
      <c r="OJB44" s="292"/>
      <c r="OJC44" s="292"/>
      <c r="OJD44" s="292"/>
      <c r="OJE44" s="291"/>
      <c r="OJF44" s="292"/>
      <c r="OJG44" s="292"/>
      <c r="OJH44" s="292"/>
      <c r="OJI44" s="291"/>
      <c r="OJJ44" s="292"/>
      <c r="OJK44" s="292"/>
      <c r="OJL44" s="292"/>
      <c r="OJM44" s="291"/>
      <c r="OJN44" s="292"/>
      <c r="OJO44" s="292"/>
      <c r="OJP44" s="292"/>
      <c r="OJQ44" s="291"/>
      <c r="OJR44" s="292"/>
      <c r="OJS44" s="292"/>
      <c r="OJT44" s="292"/>
      <c r="OJU44" s="291"/>
      <c r="OJV44" s="292"/>
      <c r="OJW44" s="292"/>
      <c r="OJX44" s="292"/>
      <c r="OJY44" s="291"/>
      <c r="OJZ44" s="292"/>
      <c r="OKA44" s="292"/>
      <c r="OKB44" s="292"/>
      <c r="OKC44" s="291"/>
      <c r="OKD44" s="292"/>
      <c r="OKE44" s="292"/>
      <c r="OKF44" s="292"/>
      <c r="OKG44" s="291"/>
      <c r="OKH44" s="292"/>
      <c r="OKI44" s="292"/>
      <c r="OKJ44" s="292"/>
      <c r="OKK44" s="291"/>
      <c r="OKL44" s="292"/>
      <c r="OKM44" s="292"/>
      <c r="OKN44" s="292"/>
      <c r="OKO44" s="291"/>
      <c r="OKP44" s="292"/>
      <c r="OKQ44" s="292"/>
      <c r="OKR44" s="292"/>
      <c r="OKS44" s="291"/>
      <c r="OKT44" s="292"/>
      <c r="OKU44" s="292"/>
      <c r="OKV44" s="292"/>
      <c r="OKW44" s="291"/>
      <c r="OKX44" s="292"/>
      <c r="OKY44" s="292"/>
      <c r="OKZ44" s="292"/>
      <c r="OLA44" s="291"/>
      <c r="OLB44" s="292"/>
      <c r="OLC44" s="292"/>
      <c r="OLD44" s="292"/>
      <c r="OLE44" s="291"/>
      <c r="OLF44" s="292"/>
      <c r="OLG44" s="292"/>
      <c r="OLH44" s="292"/>
      <c r="OLI44" s="291"/>
      <c r="OLJ44" s="292"/>
      <c r="OLK44" s="292"/>
      <c r="OLL44" s="292"/>
      <c r="OLM44" s="291"/>
      <c r="OLN44" s="292"/>
      <c r="OLO44" s="292"/>
      <c r="OLP44" s="292"/>
      <c r="OLQ44" s="291"/>
      <c r="OLR44" s="292"/>
      <c r="OLS44" s="292"/>
      <c r="OLT44" s="292"/>
      <c r="OLU44" s="291"/>
      <c r="OLV44" s="292"/>
      <c r="OLW44" s="292"/>
      <c r="OLX44" s="292"/>
      <c r="OLY44" s="291"/>
      <c r="OLZ44" s="292"/>
      <c r="OMA44" s="292"/>
      <c r="OMB44" s="292"/>
      <c r="OMC44" s="291"/>
      <c r="OMD44" s="292"/>
      <c r="OME44" s="292"/>
      <c r="OMF44" s="292"/>
      <c r="OMG44" s="291"/>
      <c r="OMH44" s="292"/>
      <c r="OMI44" s="292"/>
      <c r="OMJ44" s="292"/>
      <c r="OMK44" s="291"/>
      <c r="OML44" s="292"/>
      <c r="OMM44" s="292"/>
      <c r="OMN44" s="292"/>
      <c r="OMO44" s="291"/>
      <c r="OMP44" s="292"/>
      <c r="OMQ44" s="292"/>
      <c r="OMR44" s="292"/>
      <c r="OMS44" s="291"/>
      <c r="OMT44" s="292"/>
      <c r="OMU44" s="292"/>
      <c r="OMV44" s="292"/>
      <c r="OMW44" s="291"/>
      <c r="OMX44" s="292"/>
      <c r="OMY44" s="292"/>
      <c r="OMZ44" s="292"/>
      <c r="ONA44" s="291"/>
      <c r="ONB44" s="292"/>
      <c r="ONC44" s="292"/>
      <c r="OND44" s="292"/>
      <c r="ONE44" s="291"/>
      <c r="ONF44" s="292"/>
      <c r="ONG44" s="292"/>
      <c r="ONH44" s="292"/>
      <c r="ONI44" s="291"/>
      <c r="ONJ44" s="292"/>
      <c r="ONK44" s="292"/>
      <c r="ONL44" s="292"/>
      <c r="ONM44" s="291"/>
      <c r="ONN44" s="292"/>
      <c r="ONO44" s="292"/>
      <c r="ONP44" s="292"/>
      <c r="ONQ44" s="291"/>
      <c r="ONR44" s="292"/>
      <c r="ONS44" s="292"/>
      <c r="ONT44" s="292"/>
      <c r="ONU44" s="291"/>
      <c r="ONV44" s="292"/>
      <c r="ONW44" s="292"/>
      <c r="ONX44" s="292"/>
      <c r="ONY44" s="291"/>
      <c r="ONZ44" s="292"/>
      <c r="OOA44" s="292"/>
      <c r="OOB44" s="292"/>
      <c r="OOC44" s="291"/>
      <c r="OOD44" s="292"/>
      <c r="OOE44" s="292"/>
      <c r="OOF44" s="292"/>
      <c r="OOG44" s="291"/>
      <c r="OOH44" s="292"/>
      <c r="OOI44" s="292"/>
      <c r="OOJ44" s="292"/>
      <c r="OOK44" s="291"/>
      <c r="OOL44" s="292"/>
      <c r="OOM44" s="292"/>
      <c r="OON44" s="292"/>
      <c r="OOO44" s="291"/>
      <c r="OOP44" s="292"/>
      <c r="OOQ44" s="292"/>
      <c r="OOR44" s="292"/>
      <c r="OOS44" s="291"/>
      <c r="OOT44" s="292"/>
      <c r="OOU44" s="292"/>
      <c r="OOV44" s="292"/>
      <c r="OOW44" s="291"/>
      <c r="OOX44" s="292"/>
      <c r="OOY44" s="292"/>
      <c r="OOZ44" s="292"/>
      <c r="OPA44" s="291"/>
      <c r="OPB44" s="292"/>
      <c r="OPC44" s="292"/>
      <c r="OPD44" s="292"/>
      <c r="OPE44" s="291"/>
      <c r="OPF44" s="292"/>
      <c r="OPG44" s="292"/>
      <c r="OPH44" s="292"/>
      <c r="OPI44" s="291"/>
      <c r="OPJ44" s="292"/>
      <c r="OPK44" s="292"/>
      <c r="OPL44" s="292"/>
      <c r="OPM44" s="291"/>
      <c r="OPN44" s="292"/>
      <c r="OPO44" s="292"/>
      <c r="OPP44" s="292"/>
      <c r="OPQ44" s="291"/>
      <c r="OPR44" s="292"/>
      <c r="OPS44" s="292"/>
      <c r="OPT44" s="292"/>
      <c r="OPU44" s="291"/>
      <c r="OPV44" s="292"/>
      <c r="OPW44" s="292"/>
      <c r="OPX44" s="292"/>
      <c r="OPY44" s="291"/>
      <c r="OPZ44" s="292"/>
      <c r="OQA44" s="292"/>
      <c r="OQB44" s="292"/>
      <c r="OQC44" s="291"/>
      <c r="OQD44" s="292"/>
      <c r="OQE44" s="292"/>
      <c r="OQF44" s="292"/>
      <c r="OQG44" s="291"/>
      <c r="OQH44" s="292"/>
      <c r="OQI44" s="292"/>
      <c r="OQJ44" s="292"/>
      <c r="OQK44" s="291"/>
      <c r="OQL44" s="292"/>
      <c r="OQM44" s="292"/>
      <c r="OQN44" s="292"/>
      <c r="OQO44" s="291"/>
      <c r="OQP44" s="292"/>
      <c r="OQQ44" s="292"/>
      <c r="OQR44" s="292"/>
      <c r="OQS44" s="291"/>
      <c r="OQT44" s="292"/>
      <c r="OQU44" s="292"/>
      <c r="OQV44" s="292"/>
      <c r="OQW44" s="291"/>
      <c r="OQX44" s="292"/>
      <c r="OQY44" s="292"/>
      <c r="OQZ44" s="292"/>
      <c r="ORA44" s="291"/>
      <c r="ORB44" s="292"/>
      <c r="ORC44" s="292"/>
      <c r="ORD44" s="292"/>
      <c r="ORE44" s="291"/>
      <c r="ORF44" s="292"/>
      <c r="ORG44" s="292"/>
      <c r="ORH44" s="292"/>
      <c r="ORI44" s="291"/>
      <c r="ORJ44" s="292"/>
      <c r="ORK44" s="292"/>
      <c r="ORL44" s="292"/>
      <c r="ORM44" s="291"/>
      <c r="ORN44" s="292"/>
      <c r="ORO44" s="292"/>
      <c r="ORP44" s="292"/>
      <c r="ORQ44" s="291"/>
      <c r="ORR44" s="292"/>
      <c r="ORS44" s="292"/>
      <c r="ORT44" s="292"/>
      <c r="ORU44" s="291"/>
      <c r="ORV44" s="292"/>
      <c r="ORW44" s="292"/>
      <c r="ORX44" s="292"/>
      <c r="ORY44" s="291"/>
      <c r="ORZ44" s="292"/>
      <c r="OSA44" s="292"/>
      <c r="OSB44" s="292"/>
      <c r="OSC44" s="291"/>
      <c r="OSD44" s="292"/>
      <c r="OSE44" s="292"/>
      <c r="OSF44" s="292"/>
      <c r="OSG44" s="291"/>
      <c r="OSH44" s="292"/>
      <c r="OSI44" s="292"/>
      <c r="OSJ44" s="292"/>
      <c r="OSK44" s="291"/>
      <c r="OSL44" s="292"/>
      <c r="OSM44" s="292"/>
      <c r="OSN44" s="292"/>
      <c r="OSO44" s="291"/>
      <c r="OSP44" s="292"/>
      <c r="OSQ44" s="292"/>
      <c r="OSR44" s="292"/>
      <c r="OSS44" s="291"/>
      <c r="OST44" s="292"/>
      <c r="OSU44" s="292"/>
      <c r="OSV44" s="292"/>
      <c r="OSW44" s="291"/>
      <c r="OSX44" s="292"/>
      <c r="OSY44" s="292"/>
      <c r="OSZ44" s="292"/>
      <c r="OTA44" s="291"/>
      <c r="OTB44" s="292"/>
      <c r="OTC44" s="292"/>
      <c r="OTD44" s="292"/>
      <c r="OTE44" s="291"/>
      <c r="OTF44" s="292"/>
      <c r="OTG44" s="292"/>
      <c r="OTH44" s="292"/>
      <c r="OTI44" s="291"/>
      <c r="OTJ44" s="292"/>
      <c r="OTK44" s="292"/>
      <c r="OTL44" s="292"/>
      <c r="OTM44" s="291"/>
      <c r="OTN44" s="292"/>
      <c r="OTO44" s="292"/>
      <c r="OTP44" s="292"/>
      <c r="OTQ44" s="291"/>
      <c r="OTR44" s="292"/>
      <c r="OTS44" s="292"/>
      <c r="OTT44" s="292"/>
      <c r="OTU44" s="291"/>
      <c r="OTV44" s="292"/>
      <c r="OTW44" s="292"/>
      <c r="OTX44" s="292"/>
      <c r="OTY44" s="291"/>
      <c r="OTZ44" s="292"/>
      <c r="OUA44" s="292"/>
      <c r="OUB44" s="292"/>
      <c r="OUC44" s="291"/>
      <c r="OUD44" s="292"/>
      <c r="OUE44" s="292"/>
      <c r="OUF44" s="292"/>
      <c r="OUG44" s="291"/>
      <c r="OUH44" s="292"/>
      <c r="OUI44" s="292"/>
      <c r="OUJ44" s="292"/>
      <c r="OUK44" s="291"/>
      <c r="OUL44" s="292"/>
      <c r="OUM44" s="292"/>
      <c r="OUN44" s="292"/>
      <c r="OUO44" s="291"/>
      <c r="OUP44" s="292"/>
      <c r="OUQ44" s="292"/>
      <c r="OUR44" s="292"/>
      <c r="OUS44" s="291"/>
      <c r="OUT44" s="292"/>
      <c r="OUU44" s="292"/>
      <c r="OUV44" s="292"/>
      <c r="OUW44" s="291"/>
      <c r="OUX44" s="292"/>
      <c r="OUY44" s="292"/>
      <c r="OUZ44" s="292"/>
      <c r="OVA44" s="291"/>
      <c r="OVB44" s="292"/>
      <c r="OVC44" s="292"/>
      <c r="OVD44" s="292"/>
      <c r="OVE44" s="291"/>
      <c r="OVF44" s="292"/>
      <c r="OVG44" s="292"/>
      <c r="OVH44" s="292"/>
      <c r="OVI44" s="291"/>
      <c r="OVJ44" s="292"/>
      <c r="OVK44" s="292"/>
      <c r="OVL44" s="292"/>
      <c r="OVM44" s="291"/>
      <c r="OVN44" s="292"/>
      <c r="OVO44" s="292"/>
      <c r="OVP44" s="292"/>
      <c r="OVQ44" s="291"/>
      <c r="OVR44" s="292"/>
      <c r="OVS44" s="292"/>
      <c r="OVT44" s="292"/>
      <c r="OVU44" s="291"/>
      <c r="OVV44" s="292"/>
      <c r="OVW44" s="292"/>
      <c r="OVX44" s="292"/>
      <c r="OVY44" s="291"/>
      <c r="OVZ44" s="292"/>
      <c r="OWA44" s="292"/>
      <c r="OWB44" s="292"/>
      <c r="OWC44" s="291"/>
      <c r="OWD44" s="292"/>
      <c r="OWE44" s="292"/>
      <c r="OWF44" s="292"/>
      <c r="OWG44" s="291"/>
      <c r="OWH44" s="292"/>
      <c r="OWI44" s="292"/>
      <c r="OWJ44" s="292"/>
      <c r="OWK44" s="291"/>
      <c r="OWL44" s="292"/>
      <c r="OWM44" s="292"/>
      <c r="OWN44" s="292"/>
      <c r="OWO44" s="291"/>
      <c r="OWP44" s="292"/>
      <c r="OWQ44" s="292"/>
      <c r="OWR44" s="292"/>
      <c r="OWS44" s="291"/>
      <c r="OWT44" s="292"/>
      <c r="OWU44" s="292"/>
      <c r="OWV44" s="292"/>
      <c r="OWW44" s="291"/>
      <c r="OWX44" s="292"/>
      <c r="OWY44" s="292"/>
      <c r="OWZ44" s="292"/>
      <c r="OXA44" s="291"/>
      <c r="OXB44" s="292"/>
      <c r="OXC44" s="292"/>
      <c r="OXD44" s="292"/>
      <c r="OXE44" s="291"/>
      <c r="OXF44" s="292"/>
      <c r="OXG44" s="292"/>
      <c r="OXH44" s="292"/>
      <c r="OXI44" s="291"/>
      <c r="OXJ44" s="292"/>
      <c r="OXK44" s="292"/>
      <c r="OXL44" s="292"/>
      <c r="OXM44" s="291"/>
      <c r="OXN44" s="292"/>
      <c r="OXO44" s="292"/>
      <c r="OXP44" s="292"/>
      <c r="OXQ44" s="291"/>
      <c r="OXR44" s="292"/>
      <c r="OXS44" s="292"/>
      <c r="OXT44" s="292"/>
      <c r="OXU44" s="291"/>
      <c r="OXV44" s="292"/>
      <c r="OXW44" s="292"/>
      <c r="OXX44" s="292"/>
      <c r="OXY44" s="291"/>
      <c r="OXZ44" s="292"/>
      <c r="OYA44" s="292"/>
      <c r="OYB44" s="292"/>
      <c r="OYC44" s="291"/>
      <c r="OYD44" s="292"/>
      <c r="OYE44" s="292"/>
      <c r="OYF44" s="292"/>
      <c r="OYG44" s="291"/>
      <c r="OYH44" s="292"/>
      <c r="OYI44" s="292"/>
      <c r="OYJ44" s="292"/>
      <c r="OYK44" s="291"/>
      <c r="OYL44" s="292"/>
      <c r="OYM44" s="292"/>
      <c r="OYN44" s="292"/>
      <c r="OYO44" s="291"/>
      <c r="OYP44" s="292"/>
      <c r="OYQ44" s="292"/>
      <c r="OYR44" s="292"/>
      <c r="OYS44" s="291"/>
      <c r="OYT44" s="292"/>
      <c r="OYU44" s="292"/>
      <c r="OYV44" s="292"/>
      <c r="OYW44" s="291"/>
      <c r="OYX44" s="292"/>
      <c r="OYY44" s="292"/>
      <c r="OYZ44" s="292"/>
      <c r="OZA44" s="291"/>
      <c r="OZB44" s="292"/>
      <c r="OZC44" s="292"/>
      <c r="OZD44" s="292"/>
      <c r="OZE44" s="291"/>
      <c r="OZF44" s="292"/>
      <c r="OZG44" s="292"/>
      <c r="OZH44" s="292"/>
      <c r="OZI44" s="291"/>
      <c r="OZJ44" s="292"/>
      <c r="OZK44" s="292"/>
      <c r="OZL44" s="292"/>
      <c r="OZM44" s="291"/>
      <c r="OZN44" s="292"/>
      <c r="OZO44" s="292"/>
      <c r="OZP44" s="292"/>
      <c r="OZQ44" s="291"/>
      <c r="OZR44" s="292"/>
      <c r="OZS44" s="292"/>
      <c r="OZT44" s="292"/>
      <c r="OZU44" s="291"/>
      <c r="OZV44" s="292"/>
      <c r="OZW44" s="292"/>
      <c r="OZX44" s="292"/>
      <c r="OZY44" s="291"/>
      <c r="OZZ44" s="292"/>
      <c r="PAA44" s="292"/>
      <c r="PAB44" s="292"/>
      <c r="PAC44" s="291"/>
      <c r="PAD44" s="292"/>
      <c r="PAE44" s="292"/>
      <c r="PAF44" s="292"/>
      <c r="PAG44" s="291"/>
      <c r="PAH44" s="292"/>
      <c r="PAI44" s="292"/>
      <c r="PAJ44" s="292"/>
      <c r="PAK44" s="291"/>
      <c r="PAL44" s="292"/>
      <c r="PAM44" s="292"/>
      <c r="PAN44" s="292"/>
      <c r="PAO44" s="291"/>
      <c r="PAP44" s="292"/>
      <c r="PAQ44" s="292"/>
      <c r="PAR44" s="292"/>
      <c r="PAS44" s="291"/>
      <c r="PAT44" s="292"/>
      <c r="PAU44" s="292"/>
      <c r="PAV44" s="292"/>
      <c r="PAW44" s="291"/>
      <c r="PAX44" s="292"/>
      <c r="PAY44" s="292"/>
      <c r="PAZ44" s="292"/>
      <c r="PBA44" s="291"/>
      <c r="PBB44" s="292"/>
      <c r="PBC44" s="292"/>
      <c r="PBD44" s="292"/>
      <c r="PBE44" s="291"/>
      <c r="PBF44" s="292"/>
      <c r="PBG44" s="292"/>
      <c r="PBH44" s="292"/>
      <c r="PBI44" s="291"/>
      <c r="PBJ44" s="292"/>
      <c r="PBK44" s="292"/>
      <c r="PBL44" s="292"/>
      <c r="PBM44" s="291"/>
      <c r="PBN44" s="292"/>
      <c r="PBO44" s="292"/>
      <c r="PBP44" s="292"/>
      <c r="PBQ44" s="291"/>
      <c r="PBR44" s="292"/>
      <c r="PBS44" s="292"/>
      <c r="PBT44" s="292"/>
      <c r="PBU44" s="291"/>
      <c r="PBV44" s="292"/>
      <c r="PBW44" s="292"/>
      <c r="PBX44" s="292"/>
      <c r="PBY44" s="291"/>
      <c r="PBZ44" s="292"/>
      <c r="PCA44" s="292"/>
      <c r="PCB44" s="292"/>
      <c r="PCC44" s="291"/>
      <c r="PCD44" s="292"/>
      <c r="PCE44" s="292"/>
      <c r="PCF44" s="292"/>
      <c r="PCG44" s="291"/>
      <c r="PCH44" s="292"/>
      <c r="PCI44" s="292"/>
      <c r="PCJ44" s="292"/>
      <c r="PCK44" s="291"/>
      <c r="PCL44" s="292"/>
      <c r="PCM44" s="292"/>
      <c r="PCN44" s="292"/>
      <c r="PCO44" s="291"/>
      <c r="PCP44" s="292"/>
      <c r="PCQ44" s="292"/>
      <c r="PCR44" s="292"/>
      <c r="PCS44" s="291"/>
      <c r="PCT44" s="292"/>
      <c r="PCU44" s="292"/>
      <c r="PCV44" s="292"/>
      <c r="PCW44" s="291"/>
      <c r="PCX44" s="292"/>
      <c r="PCY44" s="292"/>
      <c r="PCZ44" s="292"/>
      <c r="PDA44" s="291"/>
      <c r="PDB44" s="292"/>
      <c r="PDC44" s="292"/>
      <c r="PDD44" s="292"/>
      <c r="PDE44" s="291"/>
      <c r="PDF44" s="292"/>
      <c r="PDG44" s="292"/>
      <c r="PDH44" s="292"/>
      <c r="PDI44" s="291"/>
      <c r="PDJ44" s="292"/>
      <c r="PDK44" s="292"/>
      <c r="PDL44" s="292"/>
      <c r="PDM44" s="291"/>
      <c r="PDN44" s="292"/>
      <c r="PDO44" s="292"/>
      <c r="PDP44" s="292"/>
      <c r="PDQ44" s="291"/>
      <c r="PDR44" s="292"/>
      <c r="PDS44" s="292"/>
      <c r="PDT44" s="292"/>
      <c r="PDU44" s="291"/>
      <c r="PDV44" s="292"/>
      <c r="PDW44" s="292"/>
      <c r="PDX44" s="292"/>
      <c r="PDY44" s="291"/>
      <c r="PDZ44" s="292"/>
      <c r="PEA44" s="292"/>
      <c r="PEB44" s="292"/>
      <c r="PEC44" s="291"/>
      <c r="PED44" s="292"/>
      <c r="PEE44" s="292"/>
      <c r="PEF44" s="292"/>
      <c r="PEG44" s="291"/>
      <c r="PEH44" s="292"/>
      <c r="PEI44" s="292"/>
      <c r="PEJ44" s="292"/>
      <c r="PEK44" s="291"/>
      <c r="PEL44" s="292"/>
      <c r="PEM44" s="292"/>
      <c r="PEN44" s="292"/>
      <c r="PEO44" s="291"/>
      <c r="PEP44" s="292"/>
      <c r="PEQ44" s="292"/>
      <c r="PER44" s="292"/>
      <c r="PES44" s="291"/>
      <c r="PET44" s="292"/>
      <c r="PEU44" s="292"/>
      <c r="PEV44" s="292"/>
      <c r="PEW44" s="291"/>
      <c r="PEX44" s="292"/>
      <c r="PEY44" s="292"/>
      <c r="PEZ44" s="292"/>
      <c r="PFA44" s="291"/>
      <c r="PFB44" s="292"/>
      <c r="PFC44" s="292"/>
      <c r="PFD44" s="292"/>
      <c r="PFE44" s="291"/>
      <c r="PFF44" s="292"/>
      <c r="PFG44" s="292"/>
      <c r="PFH44" s="292"/>
      <c r="PFI44" s="291"/>
      <c r="PFJ44" s="292"/>
      <c r="PFK44" s="292"/>
      <c r="PFL44" s="292"/>
      <c r="PFM44" s="291"/>
      <c r="PFN44" s="292"/>
      <c r="PFO44" s="292"/>
      <c r="PFP44" s="292"/>
      <c r="PFQ44" s="291"/>
      <c r="PFR44" s="292"/>
      <c r="PFS44" s="292"/>
      <c r="PFT44" s="292"/>
      <c r="PFU44" s="291"/>
      <c r="PFV44" s="292"/>
      <c r="PFW44" s="292"/>
      <c r="PFX44" s="292"/>
      <c r="PFY44" s="291"/>
      <c r="PFZ44" s="292"/>
      <c r="PGA44" s="292"/>
      <c r="PGB44" s="292"/>
      <c r="PGC44" s="291"/>
      <c r="PGD44" s="292"/>
      <c r="PGE44" s="292"/>
      <c r="PGF44" s="292"/>
      <c r="PGG44" s="291"/>
      <c r="PGH44" s="292"/>
      <c r="PGI44" s="292"/>
      <c r="PGJ44" s="292"/>
      <c r="PGK44" s="291"/>
      <c r="PGL44" s="292"/>
      <c r="PGM44" s="292"/>
      <c r="PGN44" s="292"/>
      <c r="PGO44" s="291"/>
      <c r="PGP44" s="292"/>
      <c r="PGQ44" s="292"/>
      <c r="PGR44" s="292"/>
      <c r="PGS44" s="291"/>
      <c r="PGT44" s="292"/>
      <c r="PGU44" s="292"/>
      <c r="PGV44" s="292"/>
      <c r="PGW44" s="291"/>
      <c r="PGX44" s="292"/>
      <c r="PGY44" s="292"/>
      <c r="PGZ44" s="292"/>
      <c r="PHA44" s="291"/>
      <c r="PHB44" s="292"/>
      <c r="PHC44" s="292"/>
      <c r="PHD44" s="292"/>
      <c r="PHE44" s="291"/>
      <c r="PHF44" s="292"/>
      <c r="PHG44" s="292"/>
      <c r="PHH44" s="292"/>
      <c r="PHI44" s="291"/>
      <c r="PHJ44" s="292"/>
      <c r="PHK44" s="292"/>
      <c r="PHL44" s="292"/>
      <c r="PHM44" s="291"/>
      <c r="PHN44" s="292"/>
      <c r="PHO44" s="292"/>
      <c r="PHP44" s="292"/>
      <c r="PHQ44" s="291"/>
      <c r="PHR44" s="292"/>
      <c r="PHS44" s="292"/>
      <c r="PHT44" s="292"/>
      <c r="PHU44" s="291"/>
      <c r="PHV44" s="292"/>
      <c r="PHW44" s="292"/>
      <c r="PHX44" s="292"/>
      <c r="PHY44" s="291"/>
      <c r="PHZ44" s="292"/>
      <c r="PIA44" s="292"/>
      <c r="PIB44" s="292"/>
      <c r="PIC44" s="291"/>
      <c r="PID44" s="292"/>
      <c r="PIE44" s="292"/>
      <c r="PIF44" s="292"/>
      <c r="PIG44" s="291"/>
      <c r="PIH44" s="292"/>
      <c r="PII44" s="292"/>
      <c r="PIJ44" s="292"/>
      <c r="PIK44" s="291"/>
      <c r="PIL44" s="292"/>
      <c r="PIM44" s="292"/>
      <c r="PIN44" s="292"/>
      <c r="PIO44" s="291"/>
      <c r="PIP44" s="292"/>
      <c r="PIQ44" s="292"/>
      <c r="PIR44" s="292"/>
      <c r="PIS44" s="291"/>
      <c r="PIT44" s="292"/>
      <c r="PIU44" s="292"/>
      <c r="PIV44" s="292"/>
      <c r="PIW44" s="291"/>
      <c r="PIX44" s="292"/>
      <c r="PIY44" s="292"/>
      <c r="PIZ44" s="292"/>
      <c r="PJA44" s="291"/>
      <c r="PJB44" s="292"/>
      <c r="PJC44" s="292"/>
      <c r="PJD44" s="292"/>
      <c r="PJE44" s="291"/>
      <c r="PJF44" s="292"/>
      <c r="PJG44" s="292"/>
      <c r="PJH44" s="292"/>
      <c r="PJI44" s="291"/>
      <c r="PJJ44" s="292"/>
      <c r="PJK44" s="292"/>
      <c r="PJL44" s="292"/>
      <c r="PJM44" s="291"/>
      <c r="PJN44" s="292"/>
      <c r="PJO44" s="292"/>
      <c r="PJP44" s="292"/>
      <c r="PJQ44" s="291"/>
      <c r="PJR44" s="292"/>
      <c r="PJS44" s="292"/>
      <c r="PJT44" s="292"/>
      <c r="PJU44" s="291"/>
      <c r="PJV44" s="292"/>
      <c r="PJW44" s="292"/>
      <c r="PJX44" s="292"/>
      <c r="PJY44" s="291"/>
      <c r="PJZ44" s="292"/>
      <c r="PKA44" s="292"/>
      <c r="PKB44" s="292"/>
      <c r="PKC44" s="291"/>
      <c r="PKD44" s="292"/>
      <c r="PKE44" s="292"/>
      <c r="PKF44" s="292"/>
      <c r="PKG44" s="291"/>
      <c r="PKH44" s="292"/>
      <c r="PKI44" s="292"/>
      <c r="PKJ44" s="292"/>
      <c r="PKK44" s="291"/>
      <c r="PKL44" s="292"/>
      <c r="PKM44" s="292"/>
      <c r="PKN44" s="292"/>
      <c r="PKO44" s="291"/>
      <c r="PKP44" s="292"/>
      <c r="PKQ44" s="292"/>
      <c r="PKR44" s="292"/>
      <c r="PKS44" s="291"/>
      <c r="PKT44" s="292"/>
      <c r="PKU44" s="292"/>
      <c r="PKV44" s="292"/>
      <c r="PKW44" s="291"/>
      <c r="PKX44" s="292"/>
      <c r="PKY44" s="292"/>
      <c r="PKZ44" s="292"/>
      <c r="PLA44" s="291"/>
      <c r="PLB44" s="292"/>
      <c r="PLC44" s="292"/>
      <c r="PLD44" s="292"/>
      <c r="PLE44" s="291"/>
      <c r="PLF44" s="292"/>
      <c r="PLG44" s="292"/>
      <c r="PLH44" s="292"/>
      <c r="PLI44" s="291"/>
      <c r="PLJ44" s="292"/>
      <c r="PLK44" s="292"/>
      <c r="PLL44" s="292"/>
      <c r="PLM44" s="291"/>
      <c r="PLN44" s="292"/>
      <c r="PLO44" s="292"/>
      <c r="PLP44" s="292"/>
      <c r="PLQ44" s="291"/>
      <c r="PLR44" s="292"/>
      <c r="PLS44" s="292"/>
      <c r="PLT44" s="292"/>
      <c r="PLU44" s="291"/>
      <c r="PLV44" s="292"/>
      <c r="PLW44" s="292"/>
      <c r="PLX44" s="292"/>
      <c r="PLY44" s="291"/>
      <c r="PLZ44" s="292"/>
      <c r="PMA44" s="292"/>
      <c r="PMB44" s="292"/>
      <c r="PMC44" s="291"/>
      <c r="PMD44" s="292"/>
      <c r="PME44" s="292"/>
      <c r="PMF44" s="292"/>
      <c r="PMG44" s="291"/>
      <c r="PMH44" s="292"/>
      <c r="PMI44" s="292"/>
      <c r="PMJ44" s="292"/>
      <c r="PMK44" s="291"/>
      <c r="PML44" s="292"/>
      <c r="PMM44" s="292"/>
      <c r="PMN44" s="292"/>
      <c r="PMO44" s="291"/>
      <c r="PMP44" s="292"/>
      <c r="PMQ44" s="292"/>
      <c r="PMR44" s="292"/>
      <c r="PMS44" s="291"/>
      <c r="PMT44" s="292"/>
      <c r="PMU44" s="292"/>
      <c r="PMV44" s="292"/>
      <c r="PMW44" s="291"/>
      <c r="PMX44" s="292"/>
      <c r="PMY44" s="292"/>
      <c r="PMZ44" s="292"/>
      <c r="PNA44" s="291"/>
      <c r="PNB44" s="292"/>
      <c r="PNC44" s="292"/>
      <c r="PND44" s="292"/>
      <c r="PNE44" s="291"/>
      <c r="PNF44" s="292"/>
      <c r="PNG44" s="292"/>
      <c r="PNH44" s="292"/>
      <c r="PNI44" s="291"/>
      <c r="PNJ44" s="292"/>
      <c r="PNK44" s="292"/>
      <c r="PNL44" s="292"/>
      <c r="PNM44" s="291"/>
      <c r="PNN44" s="292"/>
      <c r="PNO44" s="292"/>
      <c r="PNP44" s="292"/>
      <c r="PNQ44" s="291"/>
      <c r="PNR44" s="292"/>
      <c r="PNS44" s="292"/>
      <c r="PNT44" s="292"/>
      <c r="PNU44" s="291"/>
      <c r="PNV44" s="292"/>
      <c r="PNW44" s="292"/>
      <c r="PNX44" s="292"/>
      <c r="PNY44" s="291"/>
      <c r="PNZ44" s="292"/>
      <c r="POA44" s="292"/>
      <c r="POB44" s="292"/>
      <c r="POC44" s="291"/>
      <c r="POD44" s="292"/>
      <c r="POE44" s="292"/>
      <c r="POF44" s="292"/>
      <c r="POG44" s="291"/>
      <c r="POH44" s="292"/>
      <c r="POI44" s="292"/>
      <c r="POJ44" s="292"/>
      <c r="POK44" s="291"/>
      <c r="POL44" s="292"/>
      <c r="POM44" s="292"/>
      <c r="PON44" s="292"/>
      <c r="POO44" s="291"/>
      <c r="POP44" s="292"/>
      <c r="POQ44" s="292"/>
      <c r="POR44" s="292"/>
      <c r="POS44" s="291"/>
      <c r="POT44" s="292"/>
      <c r="POU44" s="292"/>
      <c r="POV44" s="292"/>
      <c r="POW44" s="291"/>
      <c r="POX44" s="292"/>
      <c r="POY44" s="292"/>
      <c r="POZ44" s="292"/>
      <c r="PPA44" s="291"/>
      <c r="PPB44" s="292"/>
      <c r="PPC44" s="292"/>
      <c r="PPD44" s="292"/>
      <c r="PPE44" s="291"/>
      <c r="PPF44" s="292"/>
      <c r="PPG44" s="292"/>
      <c r="PPH44" s="292"/>
      <c r="PPI44" s="291"/>
      <c r="PPJ44" s="292"/>
      <c r="PPK44" s="292"/>
      <c r="PPL44" s="292"/>
      <c r="PPM44" s="291"/>
      <c r="PPN44" s="292"/>
      <c r="PPO44" s="292"/>
      <c r="PPP44" s="292"/>
      <c r="PPQ44" s="291"/>
      <c r="PPR44" s="292"/>
      <c r="PPS44" s="292"/>
      <c r="PPT44" s="292"/>
      <c r="PPU44" s="291"/>
      <c r="PPV44" s="292"/>
      <c r="PPW44" s="292"/>
      <c r="PPX44" s="292"/>
      <c r="PPY44" s="291"/>
      <c r="PPZ44" s="292"/>
      <c r="PQA44" s="292"/>
      <c r="PQB44" s="292"/>
      <c r="PQC44" s="291"/>
      <c r="PQD44" s="292"/>
      <c r="PQE44" s="292"/>
      <c r="PQF44" s="292"/>
      <c r="PQG44" s="291"/>
      <c r="PQH44" s="292"/>
      <c r="PQI44" s="292"/>
      <c r="PQJ44" s="292"/>
      <c r="PQK44" s="291"/>
      <c r="PQL44" s="292"/>
      <c r="PQM44" s="292"/>
      <c r="PQN44" s="292"/>
      <c r="PQO44" s="291"/>
      <c r="PQP44" s="292"/>
      <c r="PQQ44" s="292"/>
      <c r="PQR44" s="292"/>
      <c r="PQS44" s="291"/>
      <c r="PQT44" s="292"/>
      <c r="PQU44" s="292"/>
      <c r="PQV44" s="292"/>
      <c r="PQW44" s="291"/>
      <c r="PQX44" s="292"/>
      <c r="PQY44" s="292"/>
      <c r="PQZ44" s="292"/>
      <c r="PRA44" s="291"/>
      <c r="PRB44" s="292"/>
      <c r="PRC44" s="292"/>
      <c r="PRD44" s="292"/>
      <c r="PRE44" s="291"/>
      <c r="PRF44" s="292"/>
      <c r="PRG44" s="292"/>
      <c r="PRH44" s="292"/>
      <c r="PRI44" s="291"/>
      <c r="PRJ44" s="292"/>
      <c r="PRK44" s="292"/>
      <c r="PRL44" s="292"/>
      <c r="PRM44" s="291"/>
      <c r="PRN44" s="292"/>
      <c r="PRO44" s="292"/>
      <c r="PRP44" s="292"/>
      <c r="PRQ44" s="291"/>
      <c r="PRR44" s="292"/>
      <c r="PRS44" s="292"/>
      <c r="PRT44" s="292"/>
      <c r="PRU44" s="291"/>
      <c r="PRV44" s="292"/>
      <c r="PRW44" s="292"/>
      <c r="PRX44" s="292"/>
      <c r="PRY44" s="291"/>
      <c r="PRZ44" s="292"/>
      <c r="PSA44" s="292"/>
      <c r="PSB44" s="292"/>
      <c r="PSC44" s="291"/>
      <c r="PSD44" s="292"/>
      <c r="PSE44" s="292"/>
      <c r="PSF44" s="292"/>
      <c r="PSG44" s="291"/>
      <c r="PSH44" s="292"/>
      <c r="PSI44" s="292"/>
      <c r="PSJ44" s="292"/>
      <c r="PSK44" s="291"/>
      <c r="PSL44" s="292"/>
      <c r="PSM44" s="292"/>
      <c r="PSN44" s="292"/>
      <c r="PSO44" s="291"/>
      <c r="PSP44" s="292"/>
      <c r="PSQ44" s="292"/>
      <c r="PSR44" s="292"/>
      <c r="PSS44" s="291"/>
      <c r="PST44" s="292"/>
      <c r="PSU44" s="292"/>
      <c r="PSV44" s="292"/>
      <c r="PSW44" s="291"/>
      <c r="PSX44" s="292"/>
      <c r="PSY44" s="292"/>
      <c r="PSZ44" s="292"/>
      <c r="PTA44" s="291"/>
      <c r="PTB44" s="292"/>
      <c r="PTC44" s="292"/>
      <c r="PTD44" s="292"/>
      <c r="PTE44" s="291"/>
      <c r="PTF44" s="292"/>
      <c r="PTG44" s="292"/>
      <c r="PTH44" s="292"/>
      <c r="PTI44" s="291"/>
      <c r="PTJ44" s="292"/>
      <c r="PTK44" s="292"/>
      <c r="PTL44" s="292"/>
      <c r="PTM44" s="291"/>
      <c r="PTN44" s="292"/>
      <c r="PTO44" s="292"/>
      <c r="PTP44" s="292"/>
      <c r="PTQ44" s="291"/>
      <c r="PTR44" s="292"/>
      <c r="PTS44" s="292"/>
      <c r="PTT44" s="292"/>
      <c r="PTU44" s="291"/>
      <c r="PTV44" s="292"/>
      <c r="PTW44" s="292"/>
      <c r="PTX44" s="292"/>
      <c r="PTY44" s="291"/>
      <c r="PTZ44" s="292"/>
      <c r="PUA44" s="292"/>
      <c r="PUB44" s="292"/>
      <c r="PUC44" s="291"/>
      <c r="PUD44" s="292"/>
      <c r="PUE44" s="292"/>
      <c r="PUF44" s="292"/>
      <c r="PUG44" s="291"/>
      <c r="PUH44" s="292"/>
      <c r="PUI44" s="292"/>
      <c r="PUJ44" s="292"/>
      <c r="PUK44" s="291"/>
      <c r="PUL44" s="292"/>
      <c r="PUM44" s="292"/>
      <c r="PUN44" s="292"/>
      <c r="PUO44" s="291"/>
      <c r="PUP44" s="292"/>
      <c r="PUQ44" s="292"/>
      <c r="PUR44" s="292"/>
      <c r="PUS44" s="291"/>
      <c r="PUT44" s="292"/>
      <c r="PUU44" s="292"/>
      <c r="PUV44" s="292"/>
      <c r="PUW44" s="291"/>
      <c r="PUX44" s="292"/>
      <c r="PUY44" s="292"/>
      <c r="PUZ44" s="292"/>
      <c r="PVA44" s="291"/>
      <c r="PVB44" s="292"/>
      <c r="PVC44" s="292"/>
      <c r="PVD44" s="292"/>
      <c r="PVE44" s="291"/>
      <c r="PVF44" s="292"/>
      <c r="PVG44" s="292"/>
      <c r="PVH44" s="292"/>
      <c r="PVI44" s="291"/>
      <c r="PVJ44" s="292"/>
      <c r="PVK44" s="292"/>
      <c r="PVL44" s="292"/>
      <c r="PVM44" s="291"/>
      <c r="PVN44" s="292"/>
      <c r="PVO44" s="292"/>
      <c r="PVP44" s="292"/>
      <c r="PVQ44" s="291"/>
      <c r="PVR44" s="292"/>
      <c r="PVS44" s="292"/>
      <c r="PVT44" s="292"/>
      <c r="PVU44" s="291"/>
      <c r="PVV44" s="292"/>
      <c r="PVW44" s="292"/>
      <c r="PVX44" s="292"/>
      <c r="PVY44" s="291"/>
      <c r="PVZ44" s="292"/>
      <c r="PWA44" s="292"/>
      <c r="PWB44" s="292"/>
      <c r="PWC44" s="291"/>
      <c r="PWD44" s="292"/>
      <c r="PWE44" s="292"/>
      <c r="PWF44" s="292"/>
      <c r="PWG44" s="291"/>
      <c r="PWH44" s="292"/>
      <c r="PWI44" s="292"/>
      <c r="PWJ44" s="292"/>
      <c r="PWK44" s="291"/>
      <c r="PWL44" s="292"/>
      <c r="PWM44" s="292"/>
      <c r="PWN44" s="292"/>
      <c r="PWO44" s="291"/>
      <c r="PWP44" s="292"/>
      <c r="PWQ44" s="292"/>
      <c r="PWR44" s="292"/>
      <c r="PWS44" s="291"/>
      <c r="PWT44" s="292"/>
      <c r="PWU44" s="292"/>
      <c r="PWV44" s="292"/>
      <c r="PWW44" s="291"/>
      <c r="PWX44" s="292"/>
      <c r="PWY44" s="292"/>
      <c r="PWZ44" s="292"/>
      <c r="PXA44" s="291"/>
      <c r="PXB44" s="292"/>
      <c r="PXC44" s="292"/>
      <c r="PXD44" s="292"/>
      <c r="PXE44" s="291"/>
      <c r="PXF44" s="292"/>
      <c r="PXG44" s="292"/>
      <c r="PXH44" s="292"/>
      <c r="PXI44" s="291"/>
      <c r="PXJ44" s="292"/>
      <c r="PXK44" s="292"/>
      <c r="PXL44" s="292"/>
      <c r="PXM44" s="291"/>
      <c r="PXN44" s="292"/>
      <c r="PXO44" s="292"/>
      <c r="PXP44" s="292"/>
      <c r="PXQ44" s="291"/>
      <c r="PXR44" s="292"/>
      <c r="PXS44" s="292"/>
      <c r="PXT44" s="292"/>
      <c r="PXU44" s="291"/>
      <c r="PXV44" s="292"/>
      <c r="PXW44" s="292"/>
      <c r="PXX44" s="292"/>
      <c r="PXY44" s="291"/>
      <c r="PXZ44" s="292"/>
      <c r="PYA44" s="292"/>
      <c r="PYB44" s="292"/>
      <c r="PYC44" s="291"/>
      <c r="PYD44" s="292"/>
      <c r="PYE44" s="292"/>
      <c r="PYF44" s="292"/>
      <c r="PYG44" s="291"/>
      <c r="PYH44" s="292"/>
      <c r="PYI44" s="292"/>
      <c r="PYJ44" s="292"/>
      <c r="PYK44" s="291"/>
      <c r="PYL44" s="292"/>
      <c r="PYM44" s="292"/>
      <c r="PYN44" s="292"/>
      <c r="PYO44" s="291"/>
      <c r="PYP44" s="292"/>
      <c r="PYQ44" s="292"/>
      <c r="PYR44" s="292"/>
      <c r="PYS44" s="291"/>
      <c r="PYT44" s="292"/>
      <c r="PYU44" s="292"/>
      <c r="PYV44" s="292"/>
      <c r="PYW44" s="291"/>
      <c r="PYX44" s="292"/>
      <c r="PYY44" s="292"/>
      <c r="PYZ44" s="292"/>
      <c r="PZA44" s="291"/>
      <c r="PZB44" s="292"/>
      <c r="PZC44" s="292"/>
      <c r="PZD44" s="292"/>
      <c r="PZE44" s="291"/>
      <c r="PZF44" s="292"/>
      <c r="PZG44" s="292"/>
      <c r="PZH44" s="292"/>
      <c r="PZI44" s="291"/>
      <c r="PZJ44" s="292"/>
      <c r="PZK44" s="292"/>
      <c r="PZL44" s="292"/>
      <c r="PZM44" s="291"/>
      <c r="PZN44" s="292"/>
      <c r="PZO44" s="292"/>
      <c r="PZP44" s="292"/>
      <c r="PZQ44" s="291"/>
      <c r="PZR44" s="292"/>
      <c r="PZS44" s="292"/>
      <c r="PZT44" s="292"/>
      <c r="PZU44" s="291"/>
      <c r="PZV44" s="292"/>
      <c r="PZW44" s="292"/>
      <c r="PZX44" s="292"/>
      <c r="PZY44" s="291"/>
      <c r="PZZ44" s="292"/>
      <c r="QAA44" s="292"/>
      <c r="QAB44" s="292"/>
      <c r="QAC44" s="291"/>
      <c r="QAD44" s="292"/>
      <c r="QAE44" s="292"/>
      <c r="QAF44" s="292"/>
      <c r="QAG44" s="291"/>
      <c r="QAH44" s="292"/>
      <c r="QAI44" s="292"/>
      <c r="QAJ44" s="292"/>
      <c r="QAK44" s="291"/>
      <c r="QAL44" s="292"/>
      <c r="QAM44" s="292"/>
      <c r="QAN44" s="292"/>
      <c r="QAO44" s="291"/>
      <c r="QAP44" s="292"/>
      <c r="QAQ44" s="292"/>
      <c r="QAR44" s="292"/>
      <c r="QAS44" s="291"/>
      <c r="QAT44" s="292"/>
      <c r="QAU44" s="292"/>
      <c r="QAV44" s="292"/>
      <c r="QAW44" s="291"/>
      <c r="QAX44" s="292"/>
      <c r="QAY44" s="292"/>
      <c r="QAZ44" s="292"/>
      <c r="QBA44" s="291"/>
      <c r="QBB44" s="292"/>
      <c r="QBC44" s="292"/>
      <c r="QBD44" s="292"/>
      <c r="QBE44" s="291"/>
      <c r="QBF44" s="292"/>
      <c r="QBG44" s="292"/>
      <c r="QBH44" s="292"/>
      <c r="QBI44" s="291"/>
      <c r="QBJ44" s="292"/>
      <c r="QBK44" s="292"/>
      <c r="QBL44" s="292"/>
      <c r="QBM44" s="291"/>
      <c r="QBN44" s="292"/>
      <c r="QBO44" s="292"/>
      <c r="QBP44" s="292"/>
      <c r="QBQ44" s="291"/>
      <c r="QBR44" s="292"/>
      <c r="QBS44" s="292"/>
      <c r="QBT44" s="292"/>
      <c r="QBU44" s="291"/>
      <c r="QBV44" s="292"/>
      <c r="QBW44" s="292"/>
      <c r="QBX44" s="292"/>
      <c r="QBY44" s="291"/>
      <c r="QBZ44" s="292"/>
      <c r="QCA44" s="292"/>
      <c r="QCB44" s="292"/>
      <c r="QCC44" s="291"/>
      <c r="QCD44" s="292"/>
      <c r="QCE44" s="292"/>
      <c r="QCF44" s="292"/>
      <c r="QCG44" s="291"/>
      <c r="QCH44" s="292"/>
      <c r="QCI44" s="292"/>
      <c r="QCJ44" s="292"/>
      <c r="QCK44" s="291"/>
      <c r="QCL44" s="292"/>
      <c r="QCM44" s="292"/>
      <c r="QCN44" s="292"/>
      <c r="QCO44" s="291"/>
      <c r="QCP44" s="292"/>
      <c r="QCQ44" s="292"/>
      <c r="QCR44" s="292"/>
      <c r="QCS44" s="291"/>
      <c r="QCT44" s="292"/>
      <c r="QCU44" s="292"/>
      <c r="QCV44" s="292"/>
      <c r="QCW44" s="291"/>
      <c r="QCX44" s="292"/>
      <c r="QCY44" s="292"/>
      <c r="QCZ44" s="292"/>
      <c r="QDA44" s="291"/>
      <c r="QDB44" s="292"/>
      <c r="QDC44" s="292"/>
      <c r="QDD44" s="292"/>
      <c r="QDE44" s="291"/>
      <c r="QDF44" s="292"/>
      <c r="QDG44" s="292"/>
      <c r="QDH44" s="292"/>
      <c r="QDI44" s="291"/>
      <c r="QDJ44" s="292"/>
      <c r="QDK44" s="292"/>
      <c r="QDL44" s="292"/>
      <c r="QDM44" s="291"/>
      <c r="QDN44" s="292"/>
      <c r="QDO44" s="292"/>
      <c r="QDP44" s="292"/>
      <c r="QDQ44" s="291"/>
      <c r="QDR44" s="292"/>
      <c r="QDS44" s="292"/>
      <c r="QDT44" s="292"/>
      <c r="QDU44" s="291"/>
      <c r="QDV44" s="292"/>
      <c r="QDW44" s="292"/>
      <c r="QDX44" s="292"/>
      <c r="QDY44" s="291"/>
      <c r="QDZ44" s="292"/>
      <c r="QEA44" s="292"/>
      <c r="QEB44" s="292"/>
      <c r="QEC44" s="291"/>
      <c r="QED44" s="292"/>
      <c r="QEE44" s="292"/>
      <c r="QEF44" s="292"/>
      <c r="QEG44" s="291"/>
      <c r="QEH44" s="292"/>
      <c r="QEI44" s="292"/>
      <c r="QEJ44" s="292"/>
      <c r="QEK44" s="291"/>
      <c r="QEL44" s="292"/>
      <c r="QEM44" s="292"/>
      <c r="QEN44" s="292"/>
      <c r="QEO44" s="291"/>
      <c r="QEP44" s="292"/>
      <c r="QEQ44" s="292"/>
      <c r="QER44" s="292"/>
      <c r="QES44" s="291"/>
      <c r="QET44" s="292"/>
      <c r="QEU44" s="292"/>
      <c r="QEV44" s="292"/>
      <c r="QEW44" s="291"/>
      <c r="QEX44" s="292"/>
      <c r="QEY44" s="292"/>
      <c r="QEZ44" s="292"/>
      <c r="QFA44" s="291"/>
      <c r="QFB44" s="292"/>
      <c r="QFC44" s="292"/>
      <c r="QFD44" s="292"/>
      <c r="QFE44" s="291"/>
      <c r="QFF44" s="292"/>
      <c r="QFG44" s="292"/>
      <c r="QFH44" s="292"/>
      <c r="QFI44" s="291"/>
      <c r="QFJ44" s="292"/>
      <c r="QFK44" s="292"/>
      <c r="QFL44" s="292"/>
      <c r="QFM44" s="291"/>
      <c r="QFN44" s="292"/>
      <c r="QFO44" s="292"/>
      <c r="QFP44" s="292"/>
      <c r="QFQ44" s="291"/>
      <c r="QFR44" s="292"/>
      <c r="QFS44" s="292"/>
      <c r="QFT44" s="292"/>
      <c r="QFU44" s="291"/>
      <c r="QFV44" s="292"/>
      <c r="QFW44" s="292"/>
      <c r="QFX44" s="292"/>
      <c r="QFY44" s="291"/>
      <c r="QFZ44" s="292"/>
      <c r="QGA44" s="292"/>
      <c r="QGB44" s="292"/>
      <c r="QGC44" s="291"/>
      <c r="QGD44" s="292"/>
      <c r="QGE44" s="292"/>
      <c r="QGF44" s="292"/>
      <c r="QGG44" s="291"/>
      <c r="QGH44" s="292"/>
      <c r="QGI44" s="292"/>
      <c r="QGJ44" s="292"/>
      <c r="QGK44" s="291"/>
      <c r="QGL44" s="292"/>
      <c r="QGM44" s="292"/>
      <c r="QGN44" s="292"/>
      <c r="QGO44" s="291"/>
      <c r="QGP44" s="292"/>
      <c r="QGQ44" s="292"/>
      <c r="QGR44" s="292"/>
      <c r="QGS44" s="291"/>
      <c r="QGT44" s="292"/>
      <c r="QGU44" s="292"/>
      <c r="QGV44" s="292"/>
      <c r="QGW44" s="291"/>
      <c r="QGX44" s="292"/>
      <c r="QGY44" s="292"/>
      <c r="QGZ44" s="292"/>
      <c r="QHA44" s="291"/>
      <c r="QHB44" s="292"/>
      <c r="QHC44" s="292"/>
      <c r="QHD44" s="292"/>
      <c r="QHE44" s="291"/>
      <c r="QHF44" s="292"/>
      <c r="QHG44" s="292"/>
      <c r="QHH44" s="292"/>
      <c r="QHI44" s="291"/>
      <c r="QHJ44" s="292"/>
      <c r="QHK44" s="292"/>
      <c r="QHL44" s="292"/>
      <c r="QHM44" s="291"/>
      <c r="QHN44" s="292"/>
      <c r="QHO44" s="292"/>
      <c r="QHP44" s="292"/>
      <c r="QHQ44" s="291"/>
      <c r="QHR44" s="292"/>
      <c r="QHS44" s="292"/>
      <c r="QHT44" s="292"/>
      <c r="QHU44" s="291"/>
      <c r="QHV44" s="292"/>
      <c r="QHW44" s="292"/>
      <c r="QHX44" s="292"/>
      <c r="QHY44" s="291"/>
      <c r="QHZ44" s="292"/>
      <c r="QIA44" s="292"/>
      <c r="QIB44" s="292"/>
      <c r="QIC44" s="291"/>
      <c r="QID44" s="292"/>
      <c r="QIE44" s="292"/>
      <c r="QIF44" s="292"/>
      <c r="QIG44" s="291"/>
      <c r="QIH44" s="292"/>
      <c r="QII44" s="292"/>
      <c r="QIJ44" s="292"/>
      <c r="QIK44" s="291"/>
      <c r="QIL44" s="292"/>
      <c r="QIM44" s="292"/>
      <c r="QIN44" s="292"/>
      <c r="QIO44" s="291"/>
      <c r="QIP44" s="292"/>
      <c r="QIQ44" s="292"/>
      <c r="QIR44" s="292"/>
      <c r="QIS44" s="291"/>
      <c r="QIT44" s="292"/>
      <c r="QIU44" s="292"/>
      <c r="QIV44" s="292"/>
      <c r="QIW44" s="291"/>
      <c r="QIX44" s="292"/>
      <c r="QIY44" s="292"/>
      <c r="QIZ44" s="292"/>
      <c r="QJA44" s="291"/>
      <c r="QJB44" s="292"/>
      <c r="QJC44" s="292"/>
      <c r="QJD44" s="292"/>
      <c r="QJE44" s="291"/>
      <c r="QJF44" s="292"/>
      <c r="QJG44" s="292"/>
      <c r="QJH44" s="292"/>
      <c r="QJI44" s="291"/>
      <c r="QJJ44" s="292"/>
      <c r="QJK44" s="292"/>
      <c r="QJL44" s="292"/>
      <c r="QJM44" s="291"/>
      <c r="QJN44" s="292"/>
      <c r="QJO44" s="292"/>
      <c r="QJP44" s="292"/>
      <c r="QJQ44" s="291"/>
      <c r="QJR44" s="292"/>
      <c r="QJS44" s="292"/>
      <c r="QJT44" s="292"/>
      <c r="QJU44" s="291"/>
      <c r="QJV44" s="292"/>
      <c r="QJW44" s="292"/>
      <c r="QJX44" s="292"/>
      <c r="QJY44" s="291"/>
      <c r="QJZ44" s="292"/>
      <c r="QKA44" s="292"/>
      <c r="QKB44" s="292"/>
      <c r="QKC44" s="291"/>
      <c r="QKD44" s="292"/>
      <c r="QKE44" s="292"/>
      <c r="QKF44" s="292"/>
      <c r="QKG44" s="291"/>
      <c r="QKH44" s="292"/>
      <c r="QKI44" s="292"/>
      <c r="QKJ44" s="292"/>
      <c r="QKK44" s="291"/>
      <c r="QKL44" s="292"/>
      <c r="QKM44" s="292"/>
      <c r="QKN44" s="292"/>
      <c r="QKO44" s="291"/>
      <c r="QKP44" s="292"/>
      <c r="QKQ44" s="292"/>
      <c r="QKR44" s="292"/>
      <c r="QKS44" s="291"/>
      <c r="QKT44" s="292"/>
      <c r="QKU44" s="292"/>
      <c r="QKV44" s="292"/>
      <c r="QKW44" s="291"/>
      <c r="QKX44" s="292"/>
      <c r="QKY44" s="292"/>
      <c r="QKZ44" s="292"/>
      <c r="QLA44" s="291"/>
      <c r="QLB44" s="292"/>
      <c r="QLC44" s="292"/>
      <c r="QLD44" s="292"/>
      <c r="QLE44" s="291"/>
      <c r="QLF44" s="292"/>
      <c r="QLG44" s="292"/>
      <c r="QLH44" s="292"/>
      <c r="QLI44" s="291"/>
      <c r="QLJ44" s="292"/>
      <c r="QLK44" s="292"/>
      <c r="QLL44" s="292"/>
      <c r="QLM44" s="291"/>
      <c r="QLN44" s="292"/>
      <c r="QLO44" s="292"/>
      <c r="QLP44" s="292"/>
      <c r="QLQ44" s="291"/>
      <c r="QLR44" s="292"/>
      <c r="QLS44" s="292"/>
      <c r="QLT44" s="292"/>
      <c r="QLU44" s="291"/>
      <c r="QLV44" s="292"/>
      <c r="QLW44" s="292"/>
      <c r="QLX44" s="292"/>
      <c r="QLY44" s="291"/>
      <c r="QLZ44" s="292"/>
      <c r="QMA44" s="292"/>
      <c r="QMB44" s="292"/>
      <c r="QMC44" s="291"/>
      <c r="QMD44" s="292"/>
      <c r="QME44" s="292"/>
      <c r="QMF44" s="292"/>
      <c r="QMG44" s="291"/>
      <c r="QMH44" s="292"/>
      <c r="QMI44" s="292"/>
      <c r="QMJ44" s="292"/>
      <c r="QMK44" s="291"/>
      <c r="QML44" s="292"/>
      <c r="QMM44" s="292"/>
      <c r="QMN44" s="292"/>
      <c r="QMO44" s="291"/>
      <c r="QMP44" s="292"/>
      <c r="QMQ44" s="292"/>
      <c r="QMR44" s="292"/>
      <c r="QMS44" s="291"/>
      <c r="QMT44" s="292"/>
      <c r="QMU44" s="292"/>
      <c r="QMV44" s="292"/>
      <c r="QMW44" s="291"/>
      <c r="QMX44" s="292"/>
      <c r="QMY44" s="292"/>
      <c r="QMZ44" s="292"/>
      <c r="QNA44" s="291"/>
      <c r="QNB44" s="292"/>
      <c r="QNC44" s="292"/>
      <c r="QND44" s="292"/>
      <c r="QNE44" s="291"/>
      <c r="QNF44" s="292"/>
      <c r="QNG44" s="292"/>
      <c r="QNH44" s="292"/>
      <c r="QNI44" s="291"/>
      <c r="QNJ44" s="292"/>
      <c r="QNK44" s="292"/>
      <c r="QNL44" s="292"/>
      <c r="QNM44" s="291"/>
      <c r="QNN44" s="292"/>
      <c r="QNO44" s="292"/>
      <c r="QNP44" s="292"/>
      <c r="QNQ44" s="291"/>
      <c r="QNR44" s="292"/>
      <c r="QNS44" s="292"/>
      <c r="QNT44" s="292"/>
      <c r="QNU44" s="291"/>
      <c r="QNV44" s="292"/>
      <c r="QNW44" s="292"/>
      <c r="QNX44" s="292"/>
      <c r="QNY44" s="291"/>
      <c r="QNZ44" s="292"/>
      <c r="QOA44" s="292"/>
      <c r="QOB44" s="292"/>
      <c r="QOC44" s="291"/>
      <c r="QOD44" s="292"/>
      <c r="QOE44" s="292"/>
      <c r="QOF44" s="292"/>
      <c r="QOG44" s="291"/>
      <c r="QOH44" s="292"/>
      <c r="QOI44" s="292"/>
      <c r="QOJ44" s="292"/>
      <c r="QOK44" s="291"/>
      <c r="QOL44" s="292"/>
      <c r="QOM44" s="292"/>
      <c r="QON44" s="292"/>
      <c r="QOO44" s="291"/>
      <c r="QOP44" s="292"/>
      <c r="QOQ44" s="292"/>
      <c r="QOR44" s="292"/>
      <c r="QOS44" s="291"/>
      <c r="QOT44" s="292"/>
      <c r="QOU44" s="292"/>
      <c r="QOV44" s="292"/>
      <c r="QOW44" s="291"/>
      <c r="QOX44" s="292"/>
      <c r="QOY44" s="292"/>
      <c r="QOZ44" s="292"/>
      <c r="QPA44" s="291"/>
      <c r="QPB44" s="292"/>
      <c r="QPC44" s="292"/>
      <c r="QPD44" s="292"/>
      <c r="QPE44" s="291"/>
      <c r="QPF44" s="292"/>
      <c r="QPG44" s="292"/>
      <c r="QPH44" s="292"/>
      <c r="QPI44" s="291"/>
      <c r="QPJ44" s="292"/>
      <c r="QPK44" s="292"/>
      <c r="QPL44" s="292"/>
      <c r="QPM44" s="291"/>
      <c r="QPN44" s="292"/>
      <c r="QPO44" s="292"/>
      <c r="QPP44" s="292"/>
      <c r="QPQ44" s="291"/>
      <c r="QPR44" s="292"/>
      <c r="QPS44" s="292"/>
      <c r="QPT44" s="292"/>
      <c r="QPU44" s="291"/>
      <c r="QPV44" s="292"/>
      <c r="QPW44" s="292"/>
      <c r="QPX44" s="292"/>
      <c r="QPY44" s="291"/>
      <c r="QPZ44" s="292"/>
      <c r="QQA44" s="292"/>
      <c r="QQB44" s="292"/>
      <c r="QQC44" s="291"/>
      <c r="QQD44" s="292"/>
      <c r="QQE44" s="292"/>
      <c r="QQF44" s="292"/>
      <c r="QQG44" s="291"/>
      <c r="QQH44" s="292"/>
      <c r="QQI44" s="292"/>
      <c r="QQJ44" s="292"/>
      <c r="QQK44" s="291"/>
      <c r="QQL44" s="292"/>
      <c r="QQM44" s="292"/>
      <c r="QQN44" s="292"/>
      <c r="QQO44" s="291"/>
      <c r="QQP44" s="292"/>
      <c r="QQQ44" s="292"/>
      <c r="QQR44" s="292"/>
      <c r="QQS44" s="291"/>
      <c r="QQT44" s="292"/>
      <c r="QQU44" s="292"/>
      <c r="QQV44" s="292"/>
      <c r="QQW44" s="291"/>
      <c r="QQX44" s="292"/>
      <c r="QQY44" s="292"/>
      <c r="QQZ44" s="292"/>
      <c r="QRA44" s="291"/>
      <c r="QRB44" s="292"/>
      <c r="QRC44" s="292"/>
      <c r="QRD44" s="292"/>
      <c r="QRE44" s="291"/>
      <c r="QRF44" s="292"/>
      <c r="QRG44" s="292"/>
      <c r="QRH44" s="292"/>
      <c r="QRI44" s="291"/>
      <c r="QRJ44" s="292"/>
      <c r="QRK44" s="292"/>
      <c r="QRL44" s="292"/>
      <c r="QRM44" s="291"/>
      <c r="QRN44" s="292"/>
      <c r="QRO44" s="292"/>
      <c r="QRP44" s="292"/>
      <c r="QRQ44" s="291"/>
      <c r="QRR44" s="292"/>
      <c r="QRS44" s="292"/>
      <c r="QRT44" s="292"/>
      <c r="QRU44" s="291"/>
      <c r="QRV44" s="292"/>
      <c r="QRW44" s="292"/>
      <c r="QRX44" s="292"/>
      <c r="QRY44" s="291"/>
      <c r="QRZ44" s="292"/>
      <c r="QSA44" s="292"/>
      <c r="QSB44" s="292"/>
      <c r="QSC44" s="291"/>
      <c r="QSD44" s="292"/>
      <c r="QSE44" s="292"/>
      <c r="QSF44" s="292"/>
      <c r="QSG44" s="291"/>
      <c r="QSH44" s="292"/>
      <c r="QSI44" s="292"/>
      <c r="QSJ44" s="292"/>
      <c r="QSK44" s="291"/>
      <c r="QSL44" s="292"/>
      <c r="QSM44" s="292"/>
      <c r="QSN44" s="292"/>
      <c r="QSO44" s="291"/>
      <c r="QSP44" s="292"/>
      <c r="QSQ44" s="292"/>
      <c r="QSR44" s="292"/>
      <c r="QSS44" s="291"/>
      <c r="QST44" s="292"/>
      <c r="QSU44" s="292"/>
      <c r="QSV44" s="292"/>
      <c r="QSW44" s="291"/>
      <c r="QSX44" s="292"/>
      <c r="QSY44" s="292"/>
      <c r="QSZ44" s="292"/>
      <c r="QTA44" s="291"/>
      <c r="QTB44" s="292"/>
      <c r="QTC44" s="292"/>
      <c r="QTD44" s="292"/>
      <c r="QTE44" s="291"/>
      <c r="QTF44" s="292"/>
      <c r="QTG44" s="292"/>
      <c r="QTH44" s="292"/>
      <c r="QTI44" s="291"/>
      <c r="QTJ44" s="292"/>
      <c r="QTK44" s="292"/>
      <c r="QTL44" s="292"/>
      <c r="QTM44" s="291"/>
      <c r="QTN44" s="292"/>
      <c r="QTO44" s="292"/>
      <c r="QTP44" s="292"/>
      <c r="QTQ44" s="291"/>
      <c r="QTR44" s="292"/>
      <c r="QTS44" s="292"/>
      <c r="QTT44" s="292"/>
      <c r="QTU44" s="291"/>
      <c r="QTV44" s="292"/>
      <c r="QTW44" s="292"/>
      <c r="QTX44" s="292"/>
      <c r="QTY44" s="291"/>
      <c r="QTZ44" s="292"/>
      <c r="QUA44" s="292"/>
      <c r="QUB44" s="292"/>
      <c r="QUC44" s="291"/>
      <c r="QUD44" s="292"/>
      <c r="QUE44" s="292"/>
      <c r="QUF44" s="292"/>
      <c r="QUG44" s="291"/>
      <c r="QUH44" s="292"/>
      <c r="QUI44" s="292"/>
      <c r="QUJ44" s="292"/>
      <c r="QUK44" s="291"/>
      <c r="QUL44" s="292"/>
      <c r="QUM44" s="292"/>
      <c r="QUN44" s="292"/>
      <c r="QUO44" s="291"/>
      <c r="QUP44" s="292"/>
      <c r="QUQ44" s="292"/>
      <c r="QUR44" s="292"/>
      <c r="QUS44" s="291"/>
      <c r="QUT44" s="292"/>
      <c r="QUU44" s="292"/>
      <c r="QUV44" s="292"/>
      <c r="QUW44" s="291"/>
      <c r="QUX44" s="292"/>
      <c r="QUY44" s="292"/>
      <c r="QUZ44" s="292"/>
      <c r="QVA44" s="291"/>
      <c r="QVB44" s="292"/>
      <c r="QVC44" s="292"/>
      <c r="QVD44" s="292"/>
      <c r="QVE44" s="291"/>
      <c r="QVF44" s="292"/>
      <c r="QVG44" s="292"/>
      <c r="QVH44" s="292"/>
      <c r="QVI44" s="291"/>
      <c r="QVJ44" s="292"/>
      <c r="QVK44" s="292"/>
      <c r="QVL44" s="292"/>
      <c r="QVM44" s="291"/>
      <c r="QVN44" s="292"/>
      <c r="QVO44" s="292"/>
      <c r="QVP44" s="292"/>
      <c r="QVQ44" s="291"/>
      <c r="QVR44" s="292"/>
      <c r="QVS44" s="292"/>
      <c r="QVT44" s="292"/>
      <c r="QVU44" s="291"/>
      <c r="QVV44" s="292"/>
      <c r="QVW44" s="292"/>
      <c r="QVX44" s="292"/>
      <c r="QVY44" s="291"/>
      <c r="QVZ44" s="292"/>
      <c r="QWA44" s="292"/>
      <c r="QWB44" s="292"/>
      <c r="QWC44" s="291"/>
      <c r="QWD44" s="292"/>
      <c r="QWE44" s="292"/>
      <c r="QWF44" s="292"/>
      <c r="QWG44" s="291"/>
      <c r="QWH44" s="292"/>
      <c r="QWI44" s="292"/>
      <c r="QWJ44" s="292"/>
      <c r="QWK44" s="291"/>
      <c r="QWL44" s="292"/>
      <c r="QWM44" s="292"/>
      <c r="QWN44" s="292"/>
      <c r="QWO44" s="291"/>
      <c r="QWP44" s="292"/>
      <c r="QWQ44" s="292"/>
      <c r="QWR44" s="292"/>
      <c r="QWS44" s="291"/>
      <c r="QWT44" s="292"/>
      <c r="QWU44" s="292"/>
      <c r="QWV44" s="292"/>
      <c r="QWW44" s="291"/>
      <c r="QWX44" s="292"/>
      <c r="QWY44" s="292"/>
      <c r="QWZ44" s="292"/>
      <c r="QXA44" s="291"/>
      <c r="QXB44" s="292"/>
      <c r="QXC44" s="292"/>
      <c r="QXD44" s="292"/>
      <c r="QXE44" s="291"/>
      <c r="QXF44" s="292"/>
      <c r="QXG44" s="292"/>
      <c r="QXH44" s="292"/>
      <c r="QXI44" s="291"/>
      <c r="QXJ44" s="292"/>
      <c r="QXK44" s="292"/>
      <c r="QXL44" s="292"/>
      <c r="QXM44" s="291"/>
      <c r="QXN44" s="292"/>
      <c r="QXO44" s="292"/>
      <c r="QXP44" s="292"/>
      <c r="QXQ44" s="291"/>
      <c r="QXR44" s="292"/>
      <c r="QXS44" s="292"/>
      <c r="QXT44" s="292"/>
      <c r="QXU44" s="291"/>
      <c r="QXV44" s="292"/>
      <c r="QXW44" s="292"/>
      <c r="QXX44" s="292"/>
      <c r="QXY44" s="291"/>
      <c r="QXZ44" s="292"/>
      <c r="QYA44" s="292"/>
      <c r="QYB44" s="292"/>
      <c r="QYC44" s="291"/>
      <c r="QYD44" s="292"/>
      <c r="QYE44" s="292"/>
      <c r="QYF44" s="292"/>
      <c r="QYG44" s="291"/>
      <c r="QYH44" s="292"/>
      <c r="QYI44" s="292"/>
      <c r="QYJ44" s="292"/>
      <c r="QYK44" s="291"/>
      <c r="QYL44" s="292"/>
      <c r="QYM44" s="292"/>
      <c r="QYN44" s="292"/>
      <c r="QYO44" s="291"/>
      <c r="QYP44" s="292"/>
      <c r="QYQ44" s="292"/>
      <c r="QYR44" s="292"/>
      <c r="QYS44" s="291"/>
      <c r="QYT44" s="292"/>
      <c r="QYU44" s="292"/>
      <c r="QYV44" s="292"/>
      <c r="QYW44" s="291"/>
      <c r="QYX44" s="292"/>
      <c r="QYY44" s="292"/>
      <c r="QYZ44" s="292"/>
      <c r="QZA44" s="291"/>
      <c r="QZB44" s="292"/>
      <c r="QZC44" s="292"/>
      <c r="QZD44" s="292"/>
      <c r="QZE44" s="291"/>
      <c r="QZF44" s="292"/>
      <c r="QZG44" s="292"/>
      <c r="QZH44" s="292"/>
      <c r="QZI44" s="291"/>
      <c r="QZJ44" s="292"/>
      <c r="QZK44" s="292"/>
      <c r="QZL44" s="292"/>
      <c r="QZM44" s="291"/>
      <c r="QZN44" s="292"/>
      <c r="QZO44" s="292"/>
      <c r="QZP44" s="292"/>
      <c r="QZQ44" s="291"/>
      <c r="QZR44" s="292"/>
      <c r="QZS44" s="292"/>
      <c r="QZT44" s="292"/>
      <c r="QZU44" s="291"/>
      <c r="QZV44" s="292"/>
      <c r="QZW44" s="292"/>
      <c r="QZX44" s="292"/>
      <c r="QZY44" s="291"/>
      <c r="QZZ44" s="292"/>
      <c r="RAA44" s="292"/>
      <c r="RAB44" s="292"/>
      <c r="RAC44" s="291"/>
      <c r="RAD44" s="292"/>
      <c r="RAE44" s="292"/>
      <c r="RAF44" s="292"/>
      <c r="RAG44" s="291"/>
      <c r="RAH44" s="292"/>
      <c r="RAI44" s="292"/>
      <c r="RAJ44" s="292"/>
      <c r="RAK44" s="291"/>
      <c r="RAL44" s="292"/>
      <c r="RAM44" s="292"/>
      <c r="RAN44" s="292"/>
      <c r="RAO44" s="291"/>
      <c r="RAP44" s="292"/>
      <c r="RAQ44" s="292"/>
      <c r="RAR44" s="292"/>
      <c r="RAS44" s="291"/>
      <c r="RAT44" s="292"/>
      <c r="RAU44" s="292"/>
      <c r="RAV44" s="292"/>
      <c r="RAW44" s="291"/>
      <c r="RAX44" s="292"/>
      <c r="RAY44" s="292"/>
      <c r="RAZ44" s="292"/>
      <c r="RBA44" s="291"/>
      <c r="RBB44" s="292"/>
      <c r="RBC44" s="292"/>
      <c r="RBD44" s="292"/>
      <c r="RBE44" s="291"/>
      <c r="RBF44" s="292"/>
      <c r="RBG44" s="292"/>
      <c r="RBH44" s="292"/>
      <c r="RBI44" s="291"/>
      <c r="RBJ44" s="292"/>
      <c r="RBK44" s="292"/>
      <c r="RBL44" s="292"/>
      <c r="RBM44" s="291"/>
      <c r="RBN44" s="292"/>
      <c r="RBO44" s="292"/>
      <c r="RBP44" s="292"/>
      <c r="RBQ44" s="291"/>
      <c r="RBR44" s="292"/>
      <c r="RBS44" s="292"/>
      <c r="RBT44" s="292"/>
      <c r="RBU44" s="291"/>
      <c r="RBV44" s="292"/>
      <c r="RBW44" s="292"/>
      <c r="RBX44" s="292"/>
      <c r="RBY44" s="291"/>
      <c r="RBZ44" s="292"/>
      <c r="RCA44" s="292"/>
      <c r="RCB44" s="292"/>
      <c r="RCC44" s="291"/>
      <c r="RCD44" s="292"/>
      <c r="RCE44" s="292"/>
      <c r="RCF44" s="292"/>
      <c r="RCG44" s="291"/>
      <c r="RCH44" s="292"/>
      <c r="RCI44" s="292"/>
      <c r="RCJ44" s="292"/>
      <c r="RCK44" s="291"/>
      <c r="RCL44" s="292"/>
      <c r="RCM44" s="292"/>
      <c r="RCN44" s="292"/>
      <c r="RCO44" s="291"/>
      <c r="RCP44" s="292"/>
      <c r="RCQ44" s="292"/>
      <c r="RCR44" s="292"/>
      <c r="RCS44" s="291"/>
      <c r="RCT44" s="292"/>
      <c r="RCU44" s="292"/>
      <c r="RCV44" s="292"/>
      <c r="RCW44" s="291"/>
      <c r="RCX44" s="292"/>
      <c r="RCY44" s="292"/>
      <c r="RCZ44" s="292"/>
      <c r="RDA44" s="291"/>
      <c r="RDB44" s="292"/>
      <c r="RDC44" s="292"/>
      <c r="RDD44" s="292"/>
      <c r="RDE44" s="291"/>
      <c r="RDF44" s="292"/>
      <c r="RDG44" s="292"/>
      <c r="RDH44" s="292"/>
      <c r="RDI44" s="291"/>
      <c r="RDJ44" s="292"/>
      <c r="RDK44" s="292"/>
      <c r="RDL44" s="292"/>
      <c r="RDM44" s="291"/>
      <c r="RDN44" s="292"/>
      <c r="RDO44" s="292"/>
      <c r="RDP44" s="292"/>
      <c r="RDQ44" s="291"/>
      <c r="RDR44" s="292"/>
      <c r="RDS44" s="292"/>
      <c r="RDT44" s="292"/>
      <c r="RDU44" s="291"/>
      <c r="RDV44" s="292"/>
      <c r="RDW44" s="292"/>
      <c r="RDX44" s="292"/>
      <c r="RDY44" s="291"/>
      <c r="RDZ44" s="292"/>
      <c r="REA44" s="292"/>
      <c r="REB44" s="292"/>
      <c r="REC44" s="291"/>
      <c r="RED44" s="292"/>
      <c r="REE44" s="292"/>
      <c r="REF44" s="292"/>
      <c r="REG44" s="291"/>
      <c r="REH44" s="292"/>
      <c r="REI44" s="292"/>
      <c r="REJ44" s="292"/>
      <c r="REK44" s="291"/>
      <c r="REL44" s="292"/>
      <c r="REM44" s="292"/>
      <c r="REN44" s="292"/>
      <c r="REO44" s="291"/>
      <c r="REP44" s="292"/>
      <c r="REQ44" s="292"/>
      <c r="RER44" s="292"/>
      <c r="RES44" s="291"/>
      <c r="RET44" s="292"/>
      <c r="REU44" s="292"/>
      <c r="REV44" s="292"/>
      <c r="REW44" s="291"/>
      <c r="REX44" s="292"/>
      <c r="REY44" s="292"/>
      <c r="REZ44" s="292"/>
      <c r="RFA44" s="291"/>
      <c r="RFB44" s="292"/>
      <c r="RFC44" s="292"/>
      <c r="RFD44" s="292"/>
      <c r="RFE44" s="291"/>
      <c r="RFF44" s="292"/>
      <c r="RFG44" s="292"/>
      <c r="RFH44" s="292"/>
      <c r="RFI44" s="291"/>
      <c r="RFJ44" s="292"/>
      <c r="RFK44" s="292"/>
      <c r="RFL44" s="292"/>
      <c r="RFM44" s="291"/>
      <c r="RFN44" s="292"/>
      <c r="RFO44" s="292"/>
      <c r="RFP44" s="292"/>
      <c r="RFQ44" s="291"/>
      <c r="RFR44" s="292"/>
      <c r="RFS44" s="292"/>
      <c r="RFT44" s="292"/>
      <c r="RFU44" s="291"/>
      <c r="RFV44" s="292"/>
      <c r="RFW44" s="292"/>
      <c r="RFX44" s="292"/>
      <c r="RFY44" s="291"/>
      <c r="RFZ44" s="292"/>
      <c r="RGA44" s="292"/>
      <c r="RGB44" s="292"/>
      <c r="RGC44" s="291"/>
      <c r="RGD44" s="292"/>
      <c r="RGE44" s="292"/>
      <c r="RGF44" s="292"/>
      <c r="RGG44" s="291"/>
      <c r="RGH44" s="292"/>
      <c r="RGI44" s="292"/>
      <c r="RGJ44" s="292"/>
      <c r="RGK44" s="291"/>
      <c r="RGL44" s="292"/>
      <c r="RGM44" s="292"/>
      <c r="RGN44" s="292"/>
      <c r="RGO44" s="291"/>
      <c r="RGP44" s="292"/>
      <c r="RGQ44" s="292"/>
      <c r="RGR44" s="292"/>
      <c r="RGS44" s="291"/>
      <c r="RGT44" s="292"/>
      <c r="RGU44" s="292"/>
      <c r="RGV44" s="292"/>
      <c r="RGW44" s="291"/>
      <c r="RGX44" s="292"/>
      <c r="RGY44" s="292"/>
      <c r="RGZ44" s="292"/>
      <c r="RHA44" s="291"/>
      <c r="RHB44" s="292"/>
      <c r="RHC44" s="292"/>
      <c r="RHD44" s="292"/>
      <c r="RHE44" s="291"/>
      <c r="RHF44" s="292"/>
      <c r="RHG44" s="292"/>
      <c r="RHH44" s="292"/>
      <c r="RHI44" s="291"/>
      <c r="RHJ44" s="292"/>
      <c r="RHK44" s="292"/>
      <c r="RHL44" s="292"/>
      <c r="RHM44" s="291"/>
      <c r="RHN44" s="292"/>
      <c r="RHO44" s="292"/>
      <c r="RHP44" s="292"/>
      <c r="RHQ44" s="291"/>
      <c r="RHR44" s="292"/>
      <c r="RHS44" s="292"/>
      <c r="RHT44" s="292"/>
      <c r="RHU44" s="291"/>
      <c r="RHV44" s="292"/>
      <c r="RHW44" s="292"/>
      <c r="RHX44" s="292"/>
      <c r="RHY44" s="291"/>
      <c r="RHZ44" s="292"/>
      <c r="RIA44" s="292"/>
      <c r="RIB44" s="292"/>
      <c r="RIC44" s="291"/>
      <c r="RID44" s="292"/>
      <c r="RIE44" s="292"/>
      <c r="RIF44" s="292"/>
      <c r="RIG44" s="291"/>
      <c r="RIH44" s="292"/>
      <c r="RII44" s="292"/>
      <c r="RIJ44" s="292"/>
      <c r="RIK44" s="291"/>
      <c r="RIL44" s="292"/>
      <c r="RIM44" s="292"/>
      <c r="RIN44" s="292"/>
      <c r="RIO44" s="291"/>
      <c r="RIP44" s="292"/>
      <c r="RIQ44" s="292"/>
      <c r="RIR44" s="292"/>
      <c r="RIS44" s="291"/>
      <c r="RIT44" s="292"/>
      <c r="RIU44" s="292"/>
      <c r="RIV44" s="292"/>
      <c r="RIW44" s="291"/>
      <c r="RIX44" s="292"/>
      <c r="RIY44" s="292"/>
      <c r="RIZ44" s="292"/>
      <c r="RJA44" s="291"/>
      <c r="RJB44" s="292"/>
      <c r="RJC44" s="292"/>
      <c r="RJD44" s="292"/>
      <c r="RJE44" s="291"/>
      <c r="RJF44" s="292"/>
      <c r="RJG44" s="292"/>
      <c r="RJH44" s="292"/>
      <c r="RJI44" s="291"/>
      <c r="RJJ44" s="292"/>
      <c r="RJK44" s="292"/>
      <c r="RJL44" s="292"/>
      <c r="RJM44" s="291"/>
      <c r="RJN44" s="292"/>
      <c r="RJO44" s="292"/>
      <c r="RJP44" s="292"/>
      <c r="RJQ44" s="291"/>
      <c r="RJR44" s="292"/>
      <c r="RJS44" s="292"/>
      <c r="RJT44" s="292"/>
      <c r="RJU44" s="291"/>
      <c r="RJV44" s="292"/>
      <c r="RJW44" s="292"/>
      <c r="RJX44" s="292"/>
      <c r="RJY44" s="291"/>
      <c r="RJZ44" s="292"/>
      <c r="RKA44" s="292"/>
      <c r="RKB44" s="292"/>
      <c r="RKC44" s="291"/>
      <c r="RKD44" s="292"/>
      <c r="RKE44" s="292"/>
      <c r="RKF44" s="292"/>
      <c r="RKG44" s="291"/>
      <c r="RKH44" s="292"/>
      <c r="RKI44" s="292"/>
      <c r="RKJ44" s="292"/>
      <c r="RKK44" s="291"/>
      <c r="RKL44" s="292"/>
      <c r="RKM44" s="292"/>
      <c r="RKN44" s="292"/>
      <c r="RKO44" s="291"/>
      <c r="RKP44" s="292"/>
      <c r="RKQ44" s="292"/>
      <c r="RKR44" s="292"/>
      <c r="RKS44" s="291"/>
      <c r="RKT44" s="292"/>
      <c r="RKU44" s="292"/>
      <c r="RKV44" s="292"/>
      <c r="RKW44" s="291"/>
      <c r="RKX44" s="292"/>
      <c r="RKY44" s="292"/>
      <c r="RKZ44" s="292"/>
      <c r="RLA44" s="291"/>
      <c r="RLB44" s="292"/>
      <c r="RLC44" s="292"/>
      <c r="RLD44" s="292"/>
      <c r="RLE44" s="291"/>
      <c r="RLF44" s="292"/>
      <c r="RLG44" s="292"/>
      <c r="RLH44" s="292"/>
      <c r="RLI44" s="291"/>
      <c r="RLJ44" s="292"/>
      <c r="RLK44" s="292"/>
      <c r="RLL44" s="292"/>
      <c r="RLM44" s="291"/>
      <c r="RLN44" s="292"/>
      <c r="RLO44" s="292"/>
      <c r="RLP44" s="292"/>
      <c r="RLQ44" s="291"/>
      <c r="RLR44" s="292"/>
      <c r="RLS44" s="292"/>
      <c r="RLT44" s="292"/>
      <c r="RLU44" s="291"/>
      <c r="RLV44" s="292"/>
      <c r="RLW44" s="292"/>
      <c r="RLX44" s="292"/>
      <c r="RLY44" s="291"/>
      <c r="RLZ44" s="292"/>
      <c r="RMA44" s="292"/>
      <c r="RMB44" s="292"/>
      <c r="RMC44" s="291"/>
      <c r="RMD44" s="292"/>
      <c r="RME44" s="292"/>
      <c r="RMF44" s="292"/>
      <c r="RMG44" s="291"/>
      <c r="RMH44" s="292"/>
      <c r="RMI44" s="292"/>
      <c r="RMJ44" s="292"/>
      <c r="RMK44" s="291"/>
      <c r="RML44" s="292"/>
      <c r="RMM44" s="292"/>
      <c r="RMN44" s="292"/>
      <c r="RMO44" s="291"/>
      <c r="RMP44" s="292"/>
      <c r="RMQ44" s="292"/>
      <c r="RMR44" s="292"/>
      <c r="RMS44" s="291"/>
      <c r="RMT44" s="292"/>
      <c r="RMU44" s="292"/>
      <c r="RMV44" s="292"/>
      <c r="RMW44" s="291"/>
      <c r="RMX44" s="292"/>
      <c r="RMY44" s="292"/>
      <c r="RMZ44" s="292"/>
      <c r="RNA44" s="291"/>
      <c r="RNB44" s="292"/>
      <c r="RNC44" s="292"/>
      <c r="RND44" s="292"/>
      <c r="RNE44" s="291"/>
      <c r="RNF44" s="292"/>
      <c r="RNG44" s="292"/>
      <c r="RNH44" s="292"/>
      <c r="RNI44" s="291"/>
      <c r="RNJ44" s="292"/>
      <c r="RNK44" s="292"/>
      <c r="RNL44" s="292"/>
      <c r="RNM44" s="291"/>
      <c r="RNN44" s="292"/>
      <c r="RNO44" s="292"/>
      <c r="RNP44" s="292"/>
      <c r="RNQ44" s="291"/>
      <c r="RNR44" s="292"/>
      <c r="RNS44" s="292"/>
      <c r="RNT44" s="292"/>
      <c r="RNU44" s="291"/>
      <c r="RNV44" s="292"/>
      <c r="RNW44" s="292"/>
      <c r="RNX44" s="292"/>
      <c r="RNY44" s="291"/>
      <c r="RNZ44" s="292"/>
      <c r="ROA44" s="292"/>
      <c r="ROB44" s="292"/>
      <c r="ROC44" s="291"/>
      <c r="ROD44" s="292"/>
      <c r="ROE44" s="292"/>
      <c r="ROF44" s="292"/>
      <c r="ROG44" s="291"/>
      <c r="ROH44" s="292"/>
      <c r="ROI44" s="292"/>
      <c r="ROJ44" s="292"/>
      <c r="ROK44" s="291"/>
      <c r="ROL44" s="292"/>
      <c r="ROM44" s="292"/>
      <c r="RON44" s="292"/>
      <c r="ROO44" s="291"/>
      <c r="ROP44" s="292"/>
      <c r="ROQ44" s="292"/>
      <c r="ROR44" s="292"/>
      <c r="ROS44" s="291"/>
      <c r="ROT44" s="292"/>
      <c r="ROU44" s="292"/>
      <c r="ROV44" s="292"/>
      <c r="ROW44" s="291"/>
      <c r="ROX44" s="292"/>
      <c r="ROY44" s="292"/>
      <c r="ROZ44" s="292"/>
      <c r="RPA44" s="291"/>
      <c r="RPB44" s="292"/>
      <c r="RPC44" s="292"/>
      <c r="RPD44" s="292"/>
      <c r="RPE44" s="291"/>
      <c r="RPF44" s="292"/>
      <c r="RPG44" s="292"/>
      <c r="RPH44" s="292"/>
      <c r="RPI44" s="291"/>
      <c r="RPJ44" s="292"/>
      <c r="RPK44" s="292"/>
      <c r="RPL44" s="292"/>
      <c r="RPM44" s="291"/>
      <c r="RPN44" s="292"/>
      <c r="RPO44" s="292"/>
      <c r="RPP44" s="292"/>
      <c r="RPQ44" s="291"/>
      <c r="RPR44" s="292"/>
      <c r="RPS44" s="292"/>
      <c r="RPT44" s="292"/>
      <c r="RPU44" s="291"/>
      <c r="RPV44" s="292"/>
      <c r="RPW44" s="292"/>
      <c r="RPX44" s="292"/>
      <c r="RPY44" s="291"/>
      <c r="RPZ44" s="292"/>
      <c r="RQA44" s="292"/>
      <c r="RQB44" s="292"/>
      <c r="RQC44" s="291"/>
      <c r="RQD44" s="292"/>
      <c r="RQE44" s="292"/>
      <c r="RQF44" s="292"/>
      <c r="RQG44" s="291"/>
      <c r="RQH44" s="292"/>
      <c r="RQI44" s="292"/>
      <c r="RQJ44" s="292"/>
      <c r="RQK44" s="291"/>
      <c r="RQL44" s="292"/>
      <c r="RQM44" s="292"/>
      <c r="RQN44" s="292"/>
      <c r="RQO44" s="291"/>
      <c r="RQP44" s="292"/>
      <c r="RQQ44" s="292"/>
      <c r="RQR44" s="292"/>
      <c r="RQS44" s="291"/>
      <c r="RQT44" s="292"/>
      <c r="RQU44" s="292"/>
      <c r="RQV44" s="292"/>
      <c r="RQW44" s="291"/>
      <c r="RQX44" s="292"/>
      <c r="RQY44" s="292"/>
      <c r="RQZ44" s="292"/>
      <c r="RRA44" s="291"/>
      <c r="RRB44" s="292"/>
      <c r="RRC44" s="292"/>
      <c r="RRD44" s="292"/>
      <c r="RRE44" s="291"/>
      <c r="RRF44" s="292"/>
      <c r="RRG44" s="292"/>
      <c r="RRH44" s="292"/>
      <c r="RRI44" s="291"/>
      <c r="RRJ44" s="292"/>
      <c r="RRK44" s="292"/>
      <c r="RRL44" s="292"/>
      <c r="RRM44" s="291"/>
      <c r="RRN44" s="292"/>
      <c r="RRO44" s="292"/>
      <c r="RRP44" s="292"/>
      <c r="RRQ44" s="291"/>
      <c r="RRR44" s="292"/>
      <c r="RRS44" s="292"/>
      <c r="RRT44" s="292"/>
      <c r="RRU44" s="291"/>
      <c r="RRV44" s="292"/>
      <c r="RRW44" s="292"/>
      <c r="RRX44" s="292"/>
      <c r="RRY44" s="291"/>
      <c r="RRZ44" s="292"/>
      <c r="RSA44" s="292"/>
      <c r="RSB44" s="292"/>
      <c r="RSC44" s="291"/>
      <c r="RSD44" s="292"/>
      <c r="RSE44" s="292"/>
      <c r="RSF44" s="292"/>
      <c r="RSG44" s="291"/>
      <c r="RSH44" s="292"/>
      <c r="RSI44" s="292"/>
      <c r="RSJ44" s="292"/>
      <c r="RSK44" s="291"/>
      <c r="RSL44" s="292"/>
      <c r="RSM44" s="292"/>
      <c r="RSN44" s="292"/>
      <c r="RSO44" s="291"/>
      <c r="RSP44" s="292"/>
      <c r="RSQ44" s="292"/>
      <c r="RSR44" s="292"/>
      <c r="RSS44" s="291"/>
      <c r="RST44" s="292"/>
      <c r="RSU44" s="292"/>
      <c r="RSV44" s="292"/>
      <c r="RSW44" s="291"/>
      <c r="RSX44" s="292"/>
      <c r="RSY44" s="292"/>
      <c r="RSZ44" s="292"/>
      <c r="RTA44" s="291"/>
      <c r="RTB44" s="292"/>
      <c r="RTC44" s="292"/>
      <c r="RTD44" s="292"/>
      <c r="RTE44" s="291"/>
      <c r="RTF44" s="292"/>
      <c r="RTG44" s="292"/>
      <c r="RTH44" s="292"/>
      <c r="RTI44" s="291"/>
      <c r="RTJ44" s="292"/>
      <c r="RTK44" s="292"/>
      <c r="RTL44" s="292"/>
      <c r="RTM44" s="291"/>
      <c r="RTN44" s="292"/>
      <c r="RTO44" s="292"/>
      <c r="RTP44" s="292"/>
      <c r="RTQ44" s="291"/>
      <c r="RTR44" s="292"/>
      <c r="RTS44" s="292"/>
      <c r="RTT44" s="292"/>
      <c r="RTU44" s="291"/>
      <c r="RTV44" s="292"/>
      <c r="RTW44" s="292"/>
      <c r="RTX44" s="292"/>
      <c r="RTY44" s="291"/>
      <c r="RTZ44" s="292"/>
      <c r="RUA44" s="292"/>
      <c r="RUB44" s="292"/>
      <c r="RUC44" s="291"/>
      <c r="RUD44" s="292"/>
      <c r="RUE44" s="292"/>
      <c r="RUF44" s="292"/>
      <c r="RUG44" s="291"/>
      <c r="RUH44" s="292"/>
      <c r="RUI44" s="292"/>
      <c r="RUJ44" s="292"/>
      <c r="RUK44" s="291"/>
      <c r="RUL44" s="292"/>
      <c r="RUM44" s="292"/>
      <c r="RUN44" s="292"/>
      <c r="RUO44" s="291"/>
      <c r="RUP44" s="292"/>
      <c r="RUQ44" s="292"/>
      <c r="RUR44" s="292"/>
      <c r="RUS44" s="291"/>
      <c r="RUT44" s="292"/>
      <c r="RUU44" s="292"/>
      <c r="RUV44" s="292"/>
      <c r="RUW44" s="291"/>
      <c r="RUX44" s="292"/>
      <c r="RUY44" s="292"/>
      <c r="RUZ44" s="292"/>
      <c r="RVA44" s="291"/>
      <c r="RVB44" s="292"/>
      <c r="RVC44" s="292"/>
      <c r="RVD44" s="292"/>
      <c r="RVE44" s="291"/>
      <c r="RVF44" s="292"/>
      <c r="RVG44" s="292"/>
      <c r="RVH44" s="292"/>
      <c r="RVI44" s="291"/>
      <c r="RVJ44" s="292"/>
      <c r="RVK44" s="292"/>
      <c r="RVL44" s="292"/>
      <c r="RVM44" s="291"/>
      <c r="RVN44" s="292"/>
      <c r="RVO44" s="292"/>
      <c r="RVP44" s="292"/>
      <c r="RVQ44" s="291"/>
      <c r="RVR44" s="292"/>
      <c r="RVS44" s="292"/>
      <c r="RVT44" s="292"/>
      <c r="RVU44" s="291"/>
      <c r="RVV44" s="292"/>
      <c r="RVW44" s="292"/>
      <c r="RVX44" s="292"/>
      <c r="RVY44" s="291"/>
      <c r="RVZ44" s="292"/>
      <c r="RWA44" s="292"/>
      <c r="RWB44" s="292"/>
      <c r="RWC44" s="291"/>
      <c r="RWD44" s="292"/>
      <c r="RWE44" s="292"/>
      <c r="RWF44" s="292"/>
      <c r="RWG44" s="291"/>
      <c r="RWH44" s="292"/>
      <c r="RWI44" s="292"/>
      <c r="RWJ44" s="292"/>
      <c r="RWK44" s="291"/>
      <c r="RWL44" s="292"/>
      <c r="RWM44" s="292"/>
      <c r="RWN44" s="292"/>
      <c r="RWO44" s="291"/>
      <c r="RWP44" s="292"/>
      <c r="RWQ44" s="292"/>
      <c r="RWR44" s="292"/>
      <c r="RWS44" s="291"/>
      <c r="RWT44" s="292"/>
      <c r="RWU44" s="292"/>
      <c r="RWV44" s="292"/>
      <c r="RWW44" s="291"/>
      <c r="RWX44" s="292"/>
      <c r="RWY44" s="292"/>
      <c r="RWZ44" s="292"/>
      <c r="RXA44" s="291"/>
      <c r="RXB44" s="292"/>
      <c r="RXC44" s="292"/>
      <c r="RXD44" s="292"/>
      <c r="RXE44" s="291"/>
      <c r="RXF44" s="292"/>
      <c r="RXG44" s="292"/>
      <c r="RXH44" s="292"/>
      <c r="RXI44" s="291"/>
      <c r="RXJ44" s="292"/>
      <c r="RXK44" s="292"/>
      <c r="RXL44" s="292"/>
      <c r="RXM44" s="291"/>
      <c r="RXN44" s="292"/>
      <c r="RXO44" s="292"/>
      <c r="RXP44" s="292"/>
      <c r="RXQ44" s="291"/>
      <c r="RXR44" s="292"/>
      <c r="RXS44" s="292"/>
      <c r="RXT44" s="292"/>
      <c r="RXU44" s="291"/>
      <c r="RXV44" s="292"/>
      <c r="RXW44" s="292"/>
      <c r="RXX44" s="292"/>
      <c r="RXY44" s="291"/>
      <c r="RXZ44" s="292"/>
      <c r="RYA44" s="292"/>
      <c r="RYB44" s="292"/>
      <c r="RYC44" s="291"/>
      <c r="RYD44" s="292"/>
      <c r="RYE44" s="292"/>
      <c r="RYF44" s="292"/>
      <c r="RYG44" s="291"/>
      <c r="RYH44" s="292"/>
      <c r="RYI44" s="292"/>
      <c r="RYJ44" s="292"/>
      <c r="RYK44" s="291"/>
      <c r="RYL44" s="292"/>
      <c r="RYM44" s="292"/>
      <c r="RYN44" s="292"/>
      <c r="RYO44" s="291"/>
      <c r="RYP44" s="292"/>
      <c r="RYQ44" s="292"/>
      <c r="RYR44" s="292"/>
      <c r="RYS44" s="291"/>
      <c r="RYT44" s="292"/>
      <c r="RYU44" s="292"/>
      <c r="RYV44" s="292"/>
      <c r="RYW44" s="291"/>
      <c r="RYX44" s="292"/>
      <c r="RYY44" s="292"/>
      <c r="RYZ44" s="292"/>
      <c r="RZA44" s="291"/>
      <c r="RZB44" s="292"/>
      <c r="RZC44" s="292"/>
      <c r="RZD44" s="292"/>
      <c r="RZE44" s="291"/>
      <c r="RZF44" s="292"/>
      <c r="RZG44" s="292"/>
      <c r="RZH44" s="292"/>
      <c r="RZI44" s="291"/>
      <c r="RZJ44" s="292"/>
      <c r="RZK44" s="292"/>
      <c r="RZL44" s="292"/>
      <c r="RZM44" s="291"/>
      <c r="RZN44" s="292"/>
      <c r="RZO44" s="292"/>
      <c r="RZP44" s="292"/>
      <c r="RZQ44" s="291"/>
      <c r="RZR44" s="292"/>
      <c r="RZS44" s="292"/>
      <c r="RZT44" s="292"/>
      <c r="RZU44" s="291"/>
      <c r="RZV44" s="292"/>
      <c r="RZW44" s="292"/>
      <c r="RZX44" s="292"/>
      <c r="RZY44" s="291"/>
      <c r="RZZ44" s="292"/>
      <c r="SAA44" s="292"/>
      <c r="SAB44" s="292"/>
      <c r="SAC44" s="291"/>
      <c r="SAD44" s="292"/>
      <c r="SAE44" s="292"/>
      <c r="SAF44" s="292"/>
      <c r="SAG44" s="291"/>
      <c r="SAH44" s="292"/>
      <c r="SAI44" s="292"/>
      <c r="SAJ44" s="292"/>
      <c r="SAK44" s="291"/>
      <c r="SAL44" s="292"/>
      <c r="SAM44" s="292"/>
      <c r="SAN44" s="292"/>
      <c r="SAO44" s="291"/>
      <c r="SAP44" s="292"/>
      <c r="SAQ44" s="292"/>
      <c r="SAR44" s="292"/>
      <c r="SAS44" s="291"/>
      <c r="SAT44" s="292"/>
      <c r="SAU44" s="292"/>
      <c r="SAV44" s="292"/>
      <c r="SAW44" s="291"/>
      <c r="SAX44" s="292"/>
      <c r="SAY44" s="292"/>
      <c r="SAZ44" s="292"/>
      <c r="SBA44" s="291"/>
      <c r="SBB44" s="292"/>
      <c r="SBC44" s="292"/>
      <c r="SBD44" s="292"/>
      <c r="SBE44" s="291"/>
      <c r="SBF44" s="292"/>
      <c r="SBG44" s="292"/>
      <c r="SBH44" s="292"/>
      <c r="SBI44" s="291"/>
      <c r="SBJ44" s="292"/>
      <c r="SBK44" s="292"/>
      <c r="SBL44" s="292"/>
      <c r="SBM44" s="291"/>
      <c r="SBN44" s="292"/>
      <c r="SBO44" s="292"/>
      <c r="SBP44" s="292"/>
      <c r="SBQ44" s="291"/>
      <c r="SBR44" s="292"/>
      <c r="SBS44" s="292"/>
      <c r="SBT44" s="292"/>
      <c r="SBU44" s="291"/>
      <c r="SBV44" s="292"/>
      <c r="SBW44" s="292"/>
      <c r="SBX44" s="292"/>
      <c r="SBY44" s="291"/>
      <c r="SBZ44" s="292"/>
      <c r="SCA44" s="292"/>
      <c r="SCB44" s="292"/>
      <c r="SCC44" s="291"/>
      <c r="SCD44" s="292"/>
      <c r="SCE44" s="292"/>
      <c r="SCF44" s="292"/>
      <c r="SCG44" s="291"/>
      <c r="SCH44" s="292"/>
      <c r="SCI44" s="292"/>
      <c r="SCJ44" s="292"/>
      <c r="SCK44" s="291"/>
      <c r="SCL44" s="292"/>
      <c r="SCM44" s="292"/>
      <c r="SCN44" s="292"/>
      <c r="SCO44" s="291"/>
      <c r="SCP44" s="292"/>
      <c r="SCQ44" s="292"/>
      <c r="SCR44" s="292"/>
      <c r="SCS44" s="291"/>
      <c r="SCT44" s="292"/>
      <c r="SCU44" s="292"/>
      <c r="SCV44" s="292"/>
      <c r="SCW44" s="291"/>
      <c r="SCX44" s="292"/>
      <c r="SCY44" s="292"/>
      <c r="SCZ44" s="292"/>
      <c r="SDA44" s="291"/>
      <c r="SDB44" s="292"/>
      <c r="SDC44" s="292"/>
      <c r="SDD44" s="292"/>
      <c r="SDE44" s="291"/>
      <c r="SDF44" s="292"/>
      <c r="SDG44" s="292"/>
      <c r="SDH44" s="292"/>
      <c r="SDI44" s="291"/>
      <c r="SDJ44" s="292"/>
      <c r="SDK44" s="292"/>
      <c r="SDL44" s="292"/>
      <c r="SDM44" s="291"/>
      <c r="SDN44" s="292"/>
      <c r="SDO44" s="292"/>
      <c r="SDP44" s="292"/>
      <c r="SDQ44" s="291"/>
      <c r="SDR44" s="292"/>
      <c r="SDS44" s="292"/>
      <c r="SDT44" s="292"/>
      <c r="SDU44" s="291"/>
      <c r="SDV44" s="292"/>
      <c r="SDW44" s="292"/>
      <c r="SDX44" s="292"/>
      <c r="SDY44" s="291"/>
      <c r="SDZ44" s="292"/>
      <c r="SEA44" s="292"/>
      <c r="SEB44" s="292"/>
      <c r="SEC44" s="291"/>
      <c r="SED44" s="292"/>
      <c r="SEE44" s="292"/>
      <c r="SEF44" s="292"/>
      <c r="SEG44" s="291"/>
      <c r="SEH44" s="292"/>
      <c r="SEI44" s="292"/>
      <c r="SEJ44" s="292"/>
      <c r="SEK44" s="291"/>
      <c r="SEL44" s="292"/>
      <c r="SEM44" s="292"/>
      <c r="SEN44" s="292"/>
      <c r="SEO44" s="291"/>
      <c r="SEP44" s="292"/>
      <c r="SEQ44" s="292"/>
      <c r="SER44" s="292"/>
      <c r="SES44" s="291"/>
      <c r="SET44" s="292"/>
      <c r="SEU44" s="292"/>
      <c r="SEV44" s="292"/>
      <c r="SEW44" s="291"/>
      <c r="SEX44" s="292"/>
      <c r="SEY44" s="292"/>
      <c r="SEZ44" s="292"/>
      <c r="SFA44" s="291"/>
      <c r="SFB44" s="292"/>
      <c r="SFC44" s="292"/>
      <c r="SFD44" s="292"/>
      <c r="SFE44" s="291"/>
      <c r="SFF44" s="292"/>
      <c r="SFG44" s="292"/>
      <c r="SFH44" s="292"/>
      <c r="SFI44" s="291"/>
      <c r="SFJ44" s="292"/>
      <c r="SFK44" s="292"/>
      <c r="SFL44" s="292"/>
      <c r="SFM44" s="291"/>
      <c r="SFN44" s="292"/>
      <c r="SFO44" s="292"/>
      <c r="SFP44" s="292"/>
      <c r="SFQ44" s="291"/>
      <c r="SFR44" s="292"/>
      <c r="SFS44" s="292"/>
      <c r="SFT44" s="292"/>
      <c r="SFU44" s="291"/>
      <c r="SFV44" s="292"/>
      <c r="SFW44" s="292"/>
      <c r="SFX44" s="292"/>
      <c r="SFY44" s="291"/>
      <c r="SFZ44" s="292"/>
      <c r="SGA44" s="292"/>
      <c r="SGB44" s="292"/>
      <c r="SGC44" s="291"/>
      <c r="SGD44" s="292"/>
      <c r="SGE44" s="292"/>
      <c r="SGF44" s="292"/>
      <c r="SGG44" s="291"/>
      <c r="SGH44" s="292"/>
      <c r="SGI44" s="292"/>
      <c r="SGJ44" s="292"/>
      <c r="SGK44" s="291"/>
      <c r="SGL44" s="292"/>
      <c r="SGM44" s="292"/>
      <c r="SGN44" s="292"/>
      <c r="SGO44" s="291"/>
      <c r="SGP44" s="292"/>
      <c r="SGQ44" s="292"/>
      <c r="SGR44" s="292"/>
      <c r="SGS44" s="291"/>
      <c r="SGT44" s="292"/>
      <c r="SGU44" s="292"/>
      <c r="SGV44" s="292"/>
      <c r="SGW44" s="291"/>
      <c r="SGX44" s="292"/>
      <c r="SGY44" s="292"/>
      <c r="SGZ44" s="292"/>
      <c r="SHA44" s="291"/>
      <c r="SHB44" s="292"/>
      <c r="SHC44" s="292"/>
      <c r="SHD44" s="292"/>
      <c r="SHE44" s="291"/>
      <c r="SHF44" s="292"/>
      <c r="SHG44" s="292"/>
      <c r="SHH44" s="292"/>
      <c r="SHI44" s="291"/>
      <c r="SHJ44" s="292"/>
      <c r="SHK44" s="292"/>
      <c r="SHL44" s="292"/>
      <c r="SHM44" s="291"/>
      <c r="SHN44" s="292"/>
      <c r="SHO44" s="292"/>
      <c r="SHP44" s="292"/>
      <c r="SHQ44" s="291"/>
      <c r="SHR44" s="292"/>
      <c r="SHS44" s="292"/>
      <c r="SHT44" s="292"/>
      <c r="SHU44" s="291"/>
      <c r="SHV44" s="292"/>
      <c r="SHW44" s="292"/>
      <c r="SHX44" s="292"/>
      <c r="SHY44" s="291"/>
      <c r="SHZ44" s="292"/>
      <c r="SIA44" s="292"/>
      <c r="SIB44" s="292"/>
      <c r="SIC44" s="291"/>
      <c r="SID44" s="292"/>
      <c r="SIE44" s="292"/>
      <c r="SIF44" s="292"/>
      <c r="SIG44" s="291"/>
      <c r="SIH44" s="292"/>
      <c r="SII44" s="292"/>
      <c r="SIJ44" s="292"/>
      <c r="SIK44" s="291"/>
      <c r="SIL44" s="292"/>
      <c r="SIM44" s="292"/>
      <c r="SIN44" s="292"/>
      <c r="SIO44" s="291"/>
      <c r="SIP44" s="292"/>
      <c r="SIQ44" s="292"/>
      <c r="SIR44" s="292"/>
      <c r="SIS44" s="291"/>
      <c r="SIT44" s="292"/>
      <c r="SIU44" s="292"/>
      <c r="SIV44" s="292"/>
      <c r="SIW44" s="291"/>
      <c r="SIX44" s="292"/>
      <c r="SIY44" s="292"/>
      <c r="SIZ44" s="292"/>
      <c r="SJA44" s="291"/>
      <c r="SJB44" s="292"/>
      <c r="SJC44" s="292"/>
      <c r="SJD44" s="292"/>
      <c r="SJE44" s="291"/>
      <c r="SJF44" s="292"/>
      <c r="SJG44" s="292"/>
      <c r="SJH44" s="292"/>
      <c r="SJI44" s="291"/>
      <c r="SJJ44" s="292"/>
      <c r="SJK44" s="292"/>
      <c r="SJL44" s="292"/>
      <c r="SJM44" s="291"/>
      <c r="SJN44" s="292"/>
      <c r="SJO44" s="292"/>
      <c r="SJP44" s="292"/>
      <c r="SJQ44" s="291"/>
      <c r="SJR44" s="292"/>
      <c r="SJS44" s="292"/>
      <c r="SJT44" s="292"/>
      <c r="SJU44" s="291"/>
      <c r="SJV44" s="292"/>
      <c r="SJW44" s="292"/>
      <c r="SJX44" s="292"/>
      <c r="SJY44" s="291"/>
      <c r="SJZ44" s="292"/>
      <c r="SKA44" s="292"/>
      <c r="SKB44" s="292"/>
      <c r="SKC44" s="291"/>
      <c r="SKD44" s="292"/>
      <c r="SKE44" s="292"/>
      <c r="SKF44" s="292"/>
      <c r="SKG44" s="291"/>
      <c r="SKH44" s="292"/>
      <c r="SKI44" s="292"/>
      <c r="SKJ44" s="292"/>
      <c r="SKK44" s="291"/>
      <c r="SKL44" s="292"/>
      <c r="SKM44" s="292"/>
      <c r="SKN44" s="292"/>
      <c r="SKO44" s="291"/>
      <c r="SKP44" s="292"/>
      <c r="SKQ44" s="292"/>
      <c r="SKR44" s="292"/>
      <c r="SKS44" s="291"/>
      <c r="SKT44" s="292"/>
      <c r="SKU44" s="292"/>
      <c r="SKV44" s="292"/>
      <c r="SKW44" s="291"/>
      <c r="SKX44" s="292"/>
      <c r="SKY44" s="292"/>
      <c r="SKZ44" s="292"/>
      <c r="SLA44" s="291"/>
      <c r="SLB44" s="292"/>
      <c r="SLC44" s="292"/>
      <c r="SLD44" s="292"/>
      <c r="SLE44" s="291"/>
      <c r="SLF44" s="292"/>
      <c r="SLG44" s="292"/>
      <c r="SLH44" s="292"/>
      <c r="SLI44" s="291"/>
      <c r="SLJ44" s="292"/>
      <c r="SLK44" s="292"/>
      <c r="SLL44" s="292"/>
      <c r="SLM44" s="291"/>
      <c r="SLN44" s="292"/>
      <c r="SLO44" s="292"/>
      <c r="SLP44" s="292"/>
      <c r="SLQ44" s="291"/>
      <c r="SLR44" s="292"/>
      <c r="SLS44" s="292"/>
      <c r="SLT44" s="292"/>
      <c r="SLU44" s="291"/>
      <c r="SLV44" s="292"/>
      <c r="SLW44" s="292"/>
      <c r="SLX44" s="292"/>
      <c r="SLY44" s="291"/>
      <c r="SLZ44" s="292"/>
      <c r="SMA44" s="292"/>
      <c r="SMB44" s="292"/>
      <c r="SMC44" s="291"/>
      <c r="SMD44" s="292"/>
      <c r="SME44" s="292"/>
      <c r="SMF44" s="292"/>
      <c r="SMG44" s="291"/>
      <c r="SMH44" s="292"/>
      <c r="SMI44" s="292"/>
      <c r="SMJ44" s="292"/>
      <c r="SMK44" s="291"/>
      <c r="SML44" s="292"/>
      <c r="SMM44" s="292"/>
      <c r="SMN44" s="292"/>
      <c r="SMO44" s="291"/>
      <c r="SMP44" s="292"/>
      <c r="SMQ44" s="292"/>
      <c r="SMR44" s="292"/>
      <c r="SMS44" s="291"/>
      <c r="SMT44" s="292"/>
      <c r="SMU44" s="292"/>
      <c r="SMV44" s="292"/>
      <c r="SMW44" s="291"/>
      <c r="SMX44" s="292"/>
      <c r="SMY44" s="292"/>
      <c r="SMZ44" s="292"/>
      <c r="SNA44" s="291"/>
      <c r="SNB44" s="292"/>
      <c r="SNC44" s="292"/>
      <c r="SND44" s="292"/>
      <c r="SNE44" s="291"/>
      <c r="SNF44" s="292"/>
      <c r="SNG44" s="292"/>
      <c r="SNH44" s="292"/>
      <c r="SNI44" s="291"/>
      <c r="SNJ44" s="292"/>
      <c r="SNK44" s="292"/>
      <c r="SNL44" s="292"/>
      <c r="SNM44" s="291"/>
      <c r="SNN44" s="292"/>
      <c r="SNO44" s="292"/>
      <c r="SNP44" s="292"/>
      <c r="SNQ44" s="291"/>
      <c r="SNR44" s="292"/>
      <c r="SNS44" s="292"/>
      <c r="SNT44" s="292"/>
      <c r="SNU44" s="291"/>
      <c r="SNV44" s="292"/>
      <c r="SNW44" s="292"/>
      <c r="SNX44" s="292"/>
      <c r="SNY44" s="291"/>
      <c r="SNZ44" s="292"/>
      <c r="SOA44" s="292"/>
      <c r="SOB44" s="292"/>
      <c r="SOC44" s="291"/>
      <c r="SOD44" s="292"/>
      <c r="SOE44" s="292"/>
      <c r="SOF44" s="292"/>
      <c r="SOG44" s="291"/>
      <c r="SOH44" s="292"/>
      <c r="SOI44" s="292"/>
      <c r="SOJ44" s="292"/>
      <c r="SOK44" s="291"/>
      <c r="SOL44" s="292"/>
      <c r="SOM44" s="292"/>
      <c r="SON44" s="292"/>
      <c r="SOO44" s="291"/>
      <c r="SOP44" s="292"/>
      <c r="SOQ44" s="292"/>
      <c r="SOR44" s="292"/>
      <c r="SOS44" s="291"/>
      <c r="SOT44" s="292"/>
      <c r="SOU44" s="292"/>
      <c r="SOV44" s="292"/>
      <c r="SOW44" s="291"/>
      <c r="SOX44" s="292"/>
      <c r="SOY44" s="292"/>
      <c r="SOZ44" s="292"/>
      <c r="SPA44" s="291"/>
      <c r="SPB44" s="292"/>
      <c r="SPC44" s="292"/>
      <c r="SPD44" s="292"/>
      <c r="SPE44" s="291"/>
      <c r="SPF44" s="292"/>
      <c r="SPG44" s="292"/>
      <c r="SPH44" s="292"/>
      <c r="SPI44" s="291"/>
      <c r="SPJ44" s="292"/>
      <c r="SPK44" s="292"/>
      <c r="SPL44" s="292"/>
      <c r="SPM44" s="291"/>
      <c r="SPN44" s="292"/>
      <c r="SPO44" s="292"/>
      <c r="SPP44" s="292"/>
      <c r="SPQ44" s="291"/>
      <c r="SPR44" s="292"/>
      <c r="SPS44" s="292"/>
      <c r="SPT44" s="292"/>
      <c r="SPU44" s="291"/>
      <c r="SPV44" s="292"/>
      <c r="SPW44" s="292"/>
      <c r="SPX44" s="292"/>
      <c r="SPY44" s="291"/>
      <c r="SPZ44" s="292"/>
      <c r="SQA44" s="292"/>
      <c r="SQB44" s="292"/>
      <c r="SQC44" s="291"/>
      <c r="SQD44" s="292"/>
      <c r="SQE44" s="292"/>
      <c r="SQF44" s="292"/>
      <c r="SQG44" s="291"/>
      <c r="SQH44" s="292"/>
      <c r="SQI44" s="292"/>
      <c r="SQJ44" s="292"/>
      <c r="SQK44" s="291"/>
      <c r="SQL44" s="292"/>
      <c r="SQM44" s="292"/>
      <c r="SQN44" s="292"/>
      <c r="SQO44" s="291"/>
      <c r="SQP44" s="292"/>
      <c r="SQQ44" s="292"/>
      <c r="SQR44" s="292"/>
      <c r="SQS44" s="291"/>
      <c r="SQT44" s="292"/>
      <c r="SQU44" s="292"/>
      <c r="SQV44" s="292"/>
      <c r="SQW44" s="291"/>
      <c r="SQX44" s="292"/>
      <c r="SQY44" s="292"/>
      <c r="SQZ44" s="292"/>
      <c r="SRA44" s="291"/>
      <c r="SRB44" s="292"/>
      <c r="SRC44" s="292"/>
      <c r="SRD44" s="292"/>
      <c r="SRE44" s="291"/>
      <c r="SRF44" s="292"/>
      <c r="SRG44" s="292"/>
      <c r="SRH44" s="292"/>
      <c r="SRI44" s="291"/>
      <c r="SRJ44" s="292"/>
      <c r="SRK44" s="292"/>
      <c r="SRL44" s="292"/>
      <c r="SRM44" s="291"/>
      <c r="SRN44" s="292"/>
      <c r="SRO44" s="292"/>
      <c r="SRP44" s="292"/>
      <c r="SRQ44" s="291"/>
      <c r="SRR44" s="292"/>
      <c r="SRS44" s="292"/>
      <c r="SRT44" s="292"/>
      <c r="SRU44" s="291"/>
      <c r="SRV44" s="292"/>
      <c r="SRW44" s="292"/>
      <c r="SRX44" s="292"/>
      <c r="SRY44" s="291"/>
      <c r="SRZ44" s="292"/>
      <c r="SSA44" s="292"/>
      <c r="SSB44" s="292"/>
      <c r="SSC44" s="291"/>
      <c r="SSD44" s="292"/>
      <c r="SSE44" s="292"/>
      <c r="SSF44" s="292"/>
      <c r="SSG44" s="291"/>
      <c r="SSH44" s="292"/>
      <c r="SSI44" s="292"/>
      <c r="SSJ44" s="292"/>
      <c r="SSK44" s="291"/>
      <c r="SSL44" s="292"/>
      <c r="SSM44" s="292"/>
      <c r="SSN44" s="292"/>
      <c r="SSO44" s="291"/>
      <c r="SSP44" s="292"/>
      <c r="SSQ44" s="292"/>
      <c r="SSR44" s="292"/>
      <c r="SSS44" s="291"/>
      <c r="SST44" s="292"/>
      <c r="SSU44" s="292"/>
      <c r="SSV44" s="292"/>
      <c r="SSW44" s="291"/>
      <c r="SSX44" s="292"/>
      <c r="SSY44" s="292"/>
      <c r="SSZ44" s="292"/>
      <c r="STA44" s="291"/>
      <c r="STB44" s="292"/>
      <c r="STC44" s="292"/>
      <c r="STD44" s="292"/>
      <c r="STE44" s="291"/>
      <c r="STF44" s="292"/>
      <c r="STG44" s="292"/>
      <c r="STH44" s="292"/>
      <c r="STI44" s="291"/>
      <c r="STJ44" s="292"/>
      <c r="STK44" s="292"/>
      <c r="STL44" s="292"/>
      <c r="STM44" s="291"/>
      <c r="STN44" s="292"/>
      <c r="STO44" s="292"/>
      <c r="STP44" s="292"/>
      <c r="STQ44" s="291"/>
      <c r="STR44" s="292"/>
      <c r="STS44" s="292"/>
      <c r="STT44" s="292"/>
      <c r="STU44" s="291"/>
      <c r="STV44" s="292"/>
      <c r="STW44" s="292"/>
      <c r="STX44" s="292"/>
      <c r="STY44" s="291"/>
      <c r="STZ44" s="292"/>
      <c r="SUA44" s="292"/>
      <c r="SUB44" s="292"/>
      <c r="SUC44" s="291"/>
      <c r="SUD44" s="292"/>
      <c r="SUE44" s="292"/>
      <c r="SUF44" s="292"/>
      <c r="SUG44" s="291"/>
      <c r="SUH44" s="292"/>
      <c r="SUI44" s="292"/>
      <c r="SUJ44" s="292"/>
      <c r="SUK44" s="291"/>
      <c r="SUL44" s="292"/>
      <c r="SUM44" s="292"/>
      <c r="SUN44" s="292"/>
      <c r="SUO44" s="291"/>
      <c r="SUP44" s="292"/>
      <c r="SUQ44" s="292"/>
      <c r="SUR44" s="292"/>
      <c r="SUS44" s="291"/>
      <c r="SUT44" s="292"/>
      <c r="SUU44" s="292"/>
      <c r="SUV44" s="292"/>
      <c r="SUW44" s="291"/>
      <c r="SUX44" s="292"/>
      <c r="SUY44" s="292"/>
      <c r="SUZ44" s="292"/>
      <c r="SVA44" s="291"/>
      <c r="SVB44" s="292"/>
      <c r="SVC44" s="292"/>
      <c r="SVD44" s="292"/>
      <c r="SVE44" s="291"/>
      <c r="SVF44" s="292"/>
      <c r="SVG44" s="292"/>
      <c r="SVH44" s="292"/>
      <c r="SVI44" s="291"/>
      <c r="SVJ44" s="292"/>
      <c r="SVK44" s="292"/>
      <c r="SVL44" s="292"/>
      <c r="SVM44" s="291"/>
      <c r="SVN44" s="292"/>
      <c r="SVO44" s="292"/>
      <c r="SVP44" s="292"/>
      <c r="SVQ44" s="291"/>
      <c r="SVR44" s="292"/>
      <c r="SVS44" s="292"/>
      <c r="SVT44" s="292"/>
      <c r="SVU44" s="291"/>
      <c r="SVV44" s="292"/>
      <c r="SVW44" s="292"/>
      <c r="SVX44" s="292"/>
      <c r="SVY44" s="291"/>
      <c r="SVZ44" s="292"/>
      <c r="SWA44" s="292"/>
      <c r="SWB44" s="292"/>
      <c r="SWC44" s="291"/>
      <c r="SWD44" s="292"/>
      <c r="SWE44" s="292"/>
      <c r="SWF44" s="292"/>
      <c r="SWG44" s="291"/>
      <c r="SWH44" s="292"/>
      <c r="SWI44" s="292"/>
      <c r="SWJ44" s="292"/>
      <c r="SWK44" s="291"/>
      <c r="SWL44" s="292"/>
      <c r="SWM44" s="292"/>
      <c r="SWN44" s="292"/>
      <c r="SWO44" s="291"/>
      <c r="SWP44" s="292"/>
      <c r="SWQ44" s="292"/>
      <c r="SWR44" s="292"/>
      <c r="SWS44" s="291"/>
      <c r="SWT44" s="292"/>
      <c r="SWU44" s="292"/>
      <c r="SWV44" s="292"/>
      <c r="SWW44" s="291"/>
      <c r="SWX44" s="292"/>
      <c r="SWY44" s="292"/>
      <c r="SWZ44" s="292"/>
      <c r="SXA44" s="291"/>
      <c r="SXB44" s="292"/>
      <c r="SXC44" s="292"/>
      <c r="SXD44" s="292"/>
      <c r="SXE44" s="291"/>
      <c r="SXF44" s="292"/>
      <c r="SXG44" s="292"/>
      <c r="SXH44" s="292"/>
      <c r="SXI44" s="291"/>
      <c r="SXJ44" s="292"/>
      <c r="SXK44" s="292"/>
      <c r="SXL44" s="292"/>
      <c r="SXM44" s="291"/>
      <c r="SXN44" s="292"/>
      <c r="SXO44" s="292"/>
      <c r="SXP44" s="292"/>
      <c r="SXQ44" s="291"/>
      <c r="SXR44" s="292"/>
      <c r="SXS44" s="292"/>
      <c r="SXT44" s="292"/>
      <c r="SXU44" s="291"/>
      <c r="SXV44" s="292"/>
      <c r="SXW44" s="292"/>
      <c r="SXX44" s="292"/>
      <c r="SXY44" s="291"/>
      <c r="SXZ44" s="292"/>
      <c r="SYA44" s="292"/>
      <c r="SYB44" s="292"/>
      <c r="SYC44" s="291"/>
      <c r="SYD44" s="292"/>
      <c r="SYE44" s="292"/>
      <c r="SYF44" s="292"/>
      <c r="SYG44" s="291"/>
      <c r="SYH44" s="292"/>
      <c r="SYI44" s="292"/>
      <c r="SYJ44" s="292"/>
      <c r="SYK44" s="291"/>
      <c r="SYL44" s="292"/>
      <c r="SYM44" s="292"/>
      <c r="SYN44" s="292"/>
      <c r="SYO44" s="291"/>
      <c r="SYP44" s="292"/>
      <c r="SYQ44" s="292"/>
      <c r="SYR44" s="292"/>
      <c r="SYS44" s="291"/>
      <c r="SYT44" s="292"/>
      <c r="SYU44" s="292"/>
      <c r="SYV44" s="292"/>
      <c r="SYW44" s="291"/>
      <c r="SYX44" s="292"/>
      <c r="SYY44" s="292"/>
      <c r="SYZ44" s="292"/>
      <c r="SZA44" s="291"/>
      <c r="SZB44" s="292"/>
      <c r="SZC44" s="292"/>
      <c r="SZD44" s="292"/>
      <c r="SZE44" s="291"/>
      <c r="SZF44" s="292"/>
      <c r="SZG44" s="292"/>
      <c r="SZH44" s="292"/>
      <c r="SZI44" s="291"/>
      <c r="SZJ44" s="292"/>
      <c r="SZK44" s="292"/>
      <c r="SZL44" s="292"/>
      <c r="SZM44" s="291"/>
      <c r="SZN44" s="292"/>
      <c r="SZO44" s="292"/>
      <c r="SZP44" s="292"/>
      <c r="SZQ44" s="291"/>
      <c r="SZR44" s="292"/>
      <c r="SZS44" s="292"/>
      <c r="SZT44" s="292"/>
      <c r="SZU44" s="291"/>
      <c r="SZV44" s="292"/>
      <c r="SZW44" s="292"/>
      <c r="SZX44" s="292"/>
      <c r="SZY44" s="291"/>
      <c r="SZZ44" s="292"/>
      <c r="TAA44" s="292"/>
      <c r="TAB44" s="292"/>
      <c r="TAC44" s="291"/>
      <c r="TAD44" s="292"/>
      <c r="TAE44" s="292"/>
      <c r="TAF44" s="292"/>
      <c r="TAG44" s="291"/>
      <c r="TAH44" s="292"/>
      <c r="TAI44" s="292"/>
      <c r="TAJ44" s="292"/>
      <c r="TAK44" s="291"/>
      <c r="TAL44" s="292"/>
      <c r="TAM44" s="292"/>
      <c r="TAN44" s="292"/>
      <c r="TAO44" s="291"/>
      <c r="TAP44" s="292"/>
      <c r="TAQ44" s="292"/>
      <c r="TAR44" s="292"/>
      <c r="TAS44" s="291"/>
      <c r="TAT44" s="292"/>
      <c r="TAU44" s="292"/>
      <c r="TAV44" s="292"/>
      <c r="TAW44" s="291"/>
      <c r="TAX44" s="292"/>
      <c r="TAY44" s="292"/>
      <c r="TAZ44" s="292"/>
      <c r="TBA44" s="291"/>
      <c r="TBB44" s="292"/>
      <c r="TBC44" s="292"/>
      <c r="TBD44" s="292"/>
      <c r="TBE44" s="291"/>
      <c r="TBF44" s="292"/>
      <c r="TBG44" s="292"/>
      <c r="TBH44" s="292"/>
      <c r="TBI44" s="291"/>
      <c r="TBJ44" s="292"/>
      <c r="TBK44" s="292"/>
      <c r="TBL44" s="292"/>
      <c r="TBM44" s="291"/>
      <c r="TBN44" s="292"/>
      <c r="TBO44" s="292"/>
      <c r="TBP44" s="292"/>
      <c r="TBQ44" s="291"/>
      <c r="TBR44" s="292"/>
      <c r="TBS44" s="292"/>
      <c r="TBT44" s="292"/>
      <c r="TBU44" s="291"/>
      <c r="TBV44" s="292"/>
      <c r="TBW44" s="292"/>
      <c r="TBX44" s="292"/>
      <c r="TBY44" s="291"/>
      <c r="TBZ44" s="292"/>
      <c r="TCA44" s="292"/>
      <c r="TCB44" s="292"/>
      <c r="TCC44" s="291"/>
      <c r="TCD44" s="292"/>
      <c r="TCE44" s="292"/>
      <c r="TCF44" s="292"/>
      <c r="TCG44" s="291"/>
      <c r="TCH44" s="292"/>
      <c r="TCI44" s="292"/>
      <c r="TCJ44" s="292"/>
      <c r="TCK44" s="291"/>
      <c r="TCL44" s="292"/>
      <c r="TCM44" s="292"/>
      <c r="TCN44" s="292"/>
      <c r="TCO44" s="291"/>
      <c r="TCP44" s="292"/>
      <c r="TCQ44" s="292"/>
      <c r="TCR44" s="292"/>
      <c r="TCS44" s="291"/>
      <c r="TCT44" s="292"/>
      <c r="TCU44" s="292"/>
      <c r="TCV44" s="292"/>
      <c r="TCW44" s="291"/>
      <c r="TCX44" s="292"/>
      <c r="TCY44" s="292"/>
      <c r="TCZ44" s="292"/>
      <c r="TDA44" s="291"/>
      <c r="TDB44" s="292"/>
      <c r="TDC44" s="292"/>
      <c r="TDD44" s="292"/>
      <c r="TDE44" s="291"/>
      <c r="TDF44" s="292"/>
      <c r="TDG44" s="292"/>
      <c r="TDH44" s="292"/>
      <c r="TDI44" s="291"/>
      <c r="TDJ44" s="292"/>
      <c r="TDK44" s="292"/>
      <c r="TDL44" s="292"/>
      <c r="TDM44" s="291"/>
      <c r="TDN44" s="292"/>
      <c r="TDO44" s="292"/>
      <c r="TDP44" s="292"/>
      <c r="TDQ44" s="291"/>
      <c r="TDR44" s="292"/>
      <c r="TDS44" s="292"/>
      <c r="TDT44" s="292"/>
      <c r="TDU44" s="291"/>
      <c r="TDV44" s="292"/>
      <c r="TDW44" s="292"/>
      <c r="TDX44" s="292"/>
      <c r="TDY44" s="291"/>
      <c r="TDZ44" s="292"/>
      <c r="TEA44" s="292"/>
      <c r="TEB44" s="292"/>
      <c r="TEC44" s="291"/>
      <c r="TED44" s="292"/>
      <c r="TEE44" s="292"/>
      <c r="TEF44" s="292"/>
      <c r="TEG44" s="291"/>
      <c r="TEH44" s="292"/>
      <c r="TEI44" s="292"/>
      <c r="TEJ44" s="292"/>
      <c r="TEK44" s="291"/>
      <c r="TEL44" s="292"/>
      <c r="TEM44" s="292"/>
      <c r="TEN44" s="292"/>
      <c r="TEO44" s="291"/>
      <c r="TEP44" s="292"/>
      <c r="TEQ44" s="292"/>
      <c r="TER44" s="292"/>
      <c r="TES44" s="291"/>
      <c r="TET44" s="292"/>
      <c r="TEU44" s="292"/>
      <c r="TEV44" s="292"/>
      <c r="TEW44" s="291"/>
      <c r="TEX44" s="292"/>
      <c r="TEY44" s="292"/>
      <c r="TEZ44" s="292"/>
      <c r="TFA44" s="291"/>
      <c r="TFB44" s="292"/>
      <c r="TFC44" s="292"/>
      <c r="TFD44" s="292"/>
      <c r="TFE44" s="291"/>
      <c r="TFF44" s="292"/>
      <c r="TFG44" s="292"/>
      <c r="TFH44" s="292"/>
      <c r="TFI44" s="291"/>
      <c r="TFJ44" s="292"/>
      <c r="TFK44" s="292"/>
      <c r="TFL44" s="292"/>
      <c r="TFM44" s="291"/>
      <c r="TFN44" s="292"/>
      <c r="TFO44" s="292"/>
      <c r="TFP44" s="292"/>
      <c r="TFQ44" s="291"/>
      <c r="TFR44" s="292"/>
      <c r="TFS44" s="292"/>
      <c r="TFT44" s="292"/>
      <c r="TFU44" s="291"/>
      <c r="TFV44" s="292"/>
      <c r="TFW44" s="292"/>
      <c r="TFX44" s="292"/>
      <c r="TFY44" s="291"/>
      <c r="TFZ44" s="292"/>
      <c r="TGA44" s="292"/>
      <c r="TGB44" s="292"/>
      <c r="TGC44" s="291"/>
      <c r="TGD44" s="292"/>
      <c r="TGE44" s="292"/>
      <c r="TGF44" s="292"/>
      <c r="TGG44" s="291"/>
      <c r="TGH44" s="292"/>
      <c r="TGI44" s="292"/>
      <c r="TGJ44" s="292"/>
      <c r="TGK44" s="291"/>
      <c r="TGL44" s="292"/>
      <c r="TGM44" s="292"/>
      <c r="TGN44" s="292"/>
      <c r="TGO44" s="291"/>
      <c r="TGP44" s="292"/>
      <c r="TGQ44" s="292"/>
      <c r="TGR44" s="292"/>
      <c r="TGS44" s="291"/>
      <c r="TGT44" s="292"/>
      <c r="TGU44" s="292"/>
      <c r="TGV44" s="292"/>
      <c r="TGW44" s="291"/>
      <c r="TGX44" s="292"/>
      <c r="TGY44" s="292"/>
      <c r="TGZ44" s="292"/>
      <c r="THA44" s="291"/>
      <c r="THB44" s="292"/>
      <c r="THC44" s="292"/>
      <c r="THD44" s="292"/>
      <c r="THE44" s="291"/>
      <c r="THF44" s="292"/>
      <c r="THG44" s="292"/>
      <c r="THH44" s="292"/>
      <c r="THI44" s="291"/>
      <c r="THJ44" s="292"/>
      <c r="THK44" s="292"/>
      <c r="THL44" s="292"/>
      <c r="THM44" s="291"/>
      <c r="THN44" s="292"/>
      <c r="THO44" s="292"/>
      <c r="THP44" s="292"/>
      <c r="THQ44" s="291"/>
      <c r="THR44" s="292"/>
      <c r="THS44" s="292"/>
      <c r="THT44" s="292"/>
      <c r="THU44" s="291"/>
      <c r="THV44" s="292"/>
      <c r="THW44" s="292"/>
      <c r="THX44" s="292"/>
      <c r="THY44" s="291"/>
      <c r="THZ44" s="292"/>
      <c r="TIA44" s="292"/>
      <c r="TIB44" s="292"/>
      <c r="TIC44" s="291"/>
      <c r="TID44" s="292"/>
      <c r="TIE44" s="292"/>
      <c r="TIF44" s="292"/>
      <c r="TIG44" s="291"/>
      <c r="TIH44" s="292"/>
      <c r="TII44" s="292"/>
      <c r="TIJ44" s="292"/>
      <c r="TIK44" s="291"/>
      <c r="TIL44" s="292"/>
      <c r="TIM44" s="292"/>
      <c r="TIN44" s="292"/>
      <c r="TIO44" s="291"/>
      <c r="TIP44" s="292"/>
      <c r="TIQ44" s="292"/>
      <c r="TIR44" s="292"/>
      <c r="TIS44" s="291"/>
      <c r="TIT44" s="292"/>
      <c r="TIU44" s="292"/>
      <c r="TIV44" s="292"/>
      <c r="TIW44" s="291"/>
      <c r="TIX44" s="292"/>
      <c r="TIY44" s="292"/>
      <c r="TIZ44" s="292"/>
      <c r="TJA44" s="291"/>
      <c r="TJB44" s="292"/>
      <c r="TJC44" s="292"/>
      <c r="TJD44" s="292"/>
      <c r="TJE44" s="291"/>
      <c r="TJF44" s="292"/>
      <c r="TJG44" s="292"/>
      <c r="TJH44" s="292"/>
      <c r="TJI44" s="291"/>
      <c r="TJJ44" s="292"/>
      <c r="TJK44" s="292"/>
      <c r="TJL44" s="292"/>
      <c r="TJM44" s="291"/>
      <c r="TJN44" s="292"/>
      <c r="TJO44" s="292"/>
      <c r="TJP44" s="292"/>
      <c r="TJQ44" s="291"/>
      <c r="TJR44" s="292"/>
      <c r="TJS44" s="292"/>
      <c r="TJT44" s="292"/>
      <c r="TJU44" s="291"/>
      <c r="TJV44" s="292"/>
      <c r="TJW44" s="292"/>
      <c r="TJX44" s="292"/>
      <c r="TJY44" s="291"/>
      <c r="TJZ44" s="292"/>
      <c r="TKA44" s="292"/>
      <c r="TKB44" s="292"/>
      <c r="TKC44" s="291"/>
      <c r="TKD44" s="292"/>
      <c r="TKE44" s="292"/>
      <c r="TKF44" s="292"/>
      <c r="TKG44" s="291"/>
      <c r="TKH44" s="292"/>
      <c r="TKI44" s="292"/>
      <c r="TKJ44" s="292"/>
      <c r="TKK44" s="291"/>
      <c r="TKL44" s="292"/>
      <c r="TKM44" s="292"/>
      <c r="TKN44" s="292"/>
      <c r="TKO44" s="291"/>
      <c r="TKP44" s="292"/>
      <c r="TKQ44" s="292"/>
      <c r="TKR44" s="292"/>
      <c r="TKS44" s="291"/>
      <c r="TKT44" s="292"/>
      <c r="TKU44" s="292"/>
      <c r="TKV44" s="292"/>
      <c r="TKW44" s="291"/>
      <c r="TKX44" s="292"/>
      <c r="TKY44" s="292"/>
      <c r="TKZ44" s="292"/>
      <c r="TLA44" s="291"/>
      <c r="TLB44" s="292"/>
      <c r="TLC44" s="292"/>
      <c r="TLD44" s="292"/>
      <c r="TLE44" s="291"/>
      <c r="TLF44" s="292"/>
      <c r="TLG44" s="292"/>
      <c r="TLH44" s="292"/>
      <c r="TLI44" s="291"/>
      <c r="TLJ44" s="292"/>
      <c r="TLK44" s="292"/>
      <c r="TLL44" s="292"/>
      <c r="TLM44" s="291"/>
      <c r="TLN44" s="292"/>
      <c r="TLO44" s="292"/>
      <c r="TLP44" s="292"/>
      <c r="TLQ44" s="291"/>
      <c r="TLR44" s="292"/>
      <c r="TLS44" s="292"/>
      <c r="TLT44" s="292"/>
      <c r="TLU44" s="291"/>
      <c r="TLV44" s="292"/>
      <c r="TLW44" s="292"/>
      <c r="TLX44" s="292"/>
      <c r="TLY44" s="291"/>
      <c r="TLZ44" s="292"/>
      <c r="TMA44" s="292"/>
      <c r="TMB44" s="292"/>
      <c r="TMC44" s="291"/>
      <c r="TMD44" s="292"/>
      <c r="TME44" s="292"/>
      <c r="TMF44" s="292"/>
      <c r="TMG44" s="291"/>
      <c r="TMH44" s="292"/>
      <c r="TMI44" s="292"/>
      <c r="TMJ44" s="292"/>
      <c r="TMK44" s="291"/>
      <c r="TML44" s="292"/>
      <c r="TMM44" s="292"/>
      <c r="TMN44" s="292"/>
      <c r="TMO44" s="291"/>
      <c r="TMP44" s="292"/>
      <c r="TMQ44" s="292"/>
      <c r="TMR44" s="292"/>
      <c r="TMS44" s="291"/>
      <c r="TMT44" s="292"/>
      <c r="TMU44" s="292"/>
      <c r="TMV44" s="292"/>
      <c r="TMW44" s="291"/>
      <c r="TMX44" s="292"/>
      <c r="TMY44" s="292"/>
      <c r="TMZ44" s="292"/>
      <c r="TNA44" s="291"/>
      <c r="TNB44" s="292"/>
      <c r="TNC44" s="292"/>
      <c r="TND44" s="292"/>
      <c r="TNE44" s="291"/>
      <c r="TNF44" s="292"/>
      <c r="TNG44" s="292"/>
      <c r="TNH44" s="292"/>
      <c r="TNI44" s="291"/>
      <c r="TNJ44" s="292"/>
      <c r="TNK44" s="292"/>
      <c r="TNL44" s="292"/>
      <c r="TNM44" s="291"/>
      <c r="TNN44" s="292"/>
      <c r="TNO44" s="292"/>
      <c r="TNP44" s="292"/>
      <c r="TNQ44" s="291"/>
      <c r="TNR44" s="292"/>
      <c r="TNS44" s="292"/>
      <c r="TNT44" s="292"/>
      <c r="TNU44" s="291"/>
      <c r="TNV44" s="292"/>
      <c r="TNW44" s="292"/>
      <c r="TNX44" s="292"/>
      <c r="TNY44" s="291"/>
      <c r="TNZ44" s="292"/>
      <c r="TOA44" s="292"/>
      <c r="TOB44" s="292"/>
      <c r="TOC44" s="291"/>
      <c r="TOD44" s="292"/>
      <c r="TOE44" s="292"/>
      <c r="TOF44" s="292"/>
      <c r="TOG44" s="291"/>
      <c r="TOH44" s="292"/>
      <c r="TOI44" s="292"/>
      <c r="TOJ44" s="292"/>
      <c r="TOK44" s="291"/>
      <c r="TOL44" s="292"/>
      <c r="TOM44" s="292"/>
      <c r="TON44" s="292"/>
      <c r="TOO44" s="291"/>
      <c r="TOP44" s="292"/>
      <c r="TOQ44" s="292"/>
      <c r="TOR44" s="292"/>
      <c r="TOS44" s="291"/>
      <c r="TOT44" s="292"/>
      <c r="TOU44" s="292"/>
      <c r="TOV44" s="292"/>
      <c r="TOW44" s="291"/>
      <c r="TOX44" s="292"/>
      <c r="TOY44" s="292"/>
      <c r="TOZ44" s="292"/>
      <c r="TPA44" s="291"/>
      <c r="TPB44" s="292"/>
      <c r="TPC44" s="292"/>
      <c r="TPD44" s="292"/>
      <c r="TPE44" s="291"/>
      <c r="TPF44" s="292"/>
      <c r="TPG44" s="292"/>
      <c r="TPH44" s="292"/>
      <c r="TPI44" s="291"/>
      <c r="TPJ44" s="292"/>
      <c r="TPK44" s="292"/>
      <c r="TPL44" s="292"/>
      <c r="TPM44" s="291"/>
      <c r="TPN44" s="292"/>
      <c r="TPO44" s="292"/>
      <c r="TPP44" s="292"/>
      <c r="TPQ44" s="291"/>
      <c r="TPR44" s="292"/>
      <c r="TPS44" s="292"/>
      <c r="TPT44" s="292"/>
      <c r="TPU44" s="291"/>
      <c r="TPV44" s="292"/>
      <c r="TPW44" s="292"/>
      <c r="TPX44" s="292"/>
      <c r="TPY44" s="291"/>
      <c r="TPZ44" s="292"/>
      <c r="TQA44" s="292"/>
      <c r="TQB44" s="292"/>
      <c r="TQC44" s="291"/>
      <c r="TQD44" s="292"/>
      <c r="TQE44" s="292"/>
      <c r="TQF44" s="292"/>
      <c r="TQG44" s="291"/>
      <c r="TQH44" s="292"/>
      <c r="TQI44" s="292"/>
      <c r="TQJ44" s="292"/>
      <c r="TQK44" s="291"/>
      <c r="TQL44" s="292"/>
      <c r="TQM44" s="292"/>
      <c r="TQN44" s="292"/>
      <c r="TQO44" s="291"/>
      <c r="TQP44" s="292"/>
      <c r="TQQ44" s="292"/>
      <c r="TQR44" s="292"/>
      <c r="TQS44" s="291"/>
      <c r="TQT44" s="292"/>
      <c r="TQU44" s="292"/>
      <c r="TQV44" s="292"/>
      <c r="TQW44" s="291"/>
      <c r="TQX44" s="292"/>
      <c r="TQY44" s="292"/>
      <c r="TQZ44" s="292"/>
      <c r="TRA44" s="291"/>
      <c r="TRB44" s="292"/>
      <c r="TRC44" s="292"/>
      <c r="TRD44" s="292"/>
      <c r="TRE44" s="291"/>
      <c r="TRF44" s="292"/>
      <c r="TRG44" s="292"/>
      <c r="TRH44" s="292"/>
      <c r="TRI44" s="291"/>
      <c r="TRJ44" s="292"/>
      <c r="TRK44" s="292"/>
      <c r="TRL44" s="292"/>
      <c r="TRM44" s="291"/>
      <c r="TRN44" s="292"/>
      <c r="TRO44" s="292"/>
      <c r="TRP44" s="292"/>
      <c r="TRQ44" s="291"/>
      <c r="TRR44" s="292"/>
      <c r="TRS44" s="292"/>
      <c r="TRT44" s="292"/>
      <c r="TRU44" s="291"/>
      <c r="TRV44" s="292"/>
      <c r="TRW44" s="292"/>
      <c r="TRX44" s="292"/>
      <c r="TRY44" s="291"/>
      <c r="TRZ44" s="292"/>
      <c r="TSA44" s="292"/>
      <c r="TSB44" s="292"/>
      <c r="TSC44" s="291"/>
      <c r="TSD44" s="292"/>
      <c r="TSE44" s="292"/>
      <c r="TSF44" s="292"/>
      <c r="TSG44" s="291"/>
      <c r="TSH44" s="292"/>
      <c r="TSI44" s="292"/>
      <c r="TSJ44" s="292"/>
      <c r="TSK44" s="291"/>
      <c r="TSL44" s="292"/>
      <c r="TSM44" s="292"/>
      <c r="TSN44" s="292"/>
      <c r="TSO44" s="291"/>
      <c r="TSP44" s="292"/>
      <c r="TSQ44" s="292"/>
      <c r="TSR44" s="292"/>
      <c r="TSS44" s="291"/>
      <c r="TST44" s="292"/>
      <c r="TSU44" s="292"/>
      <c r="TSV44" s="292"/>
      <c r="TSW44" s="291"/>
      <c r="TSX44" s="292"/>
      <c r="TSY44" s="292"/>
      <c r="TSZ44" s="292"/>
      <c r="TTA44" s="291"/>
      <c r="TTB44" s="292"/>
      <c r="TTC44" s="292"/>
      <c r="TTD44" s="292"/>
      <c r="TTE44" s="291"/>
      <c r="TTF44" s="292"/>
      <c r="TTG44" s="292"/>
      <c r="TTH44" s="292"/>
      <c r="TTI44" s="291"/>
      <c r="TTJ44" s="292"/>
      <c r="TTK44" s="292"/>
      <c r="TTL44" s="292"/>
      <c r="TTM44" s="291"/>
      <c r="TTN44" s="292"/>
      <c r="TTO44" s="292"/>
      <c r="TTP44" s="292"/>
      <c r="TTQ44" s="291"/>
      <c r="TTR44" s="292"/>
      <c r="TTS44" s="292"/>
      <c r="TTT44" s="292"/>
      <c r="TTU44" s="291"/>
      <c r="TTV44" s="292"/>
      <c r="TTW44" s="292"/>
      <c r="TTX44" s="292"/>
      <c r="TTY44" s="291"/>
      <c r="TTZ44" s="292"/>
      <c r="TUA44" s="292"/>
      <c r="TUB44" s="292"/>
      <c r="TUC44" s="291"/>
      <c r="TUD44" s="292"/>
      <c r="TUE44" s="292"/>
      <c r="TUF44" s="292"/>
      <c r="TUG44" s="291"/>
      <c r="TUH44" s="292"/>
      <c r="TUI44" s="292"/>
      <c r="TUJ44" s="292"/>
      <c r="TUK44" s="291"/>
      <c r="TUL44" s="292"/>
      <c r="TUM44" s="292"/>
      <c r="TUN44" s="292"/>
      <c r="TUO44" s="291"/>
      <c r="TUP44" s="292"/>
      <c r="TUQ44" s="292"/>
      <c r="TUR44" s="292"/>
      <c r="TUS44" s="291"/>
      <c r="TUT44" s="292"/>
      <c r="TUU44" s="292"/>
      <c r="TUV44" s="292"/>
      <c r="TUW44" s="291"/>
      <c r="TUX44" s="292"/>
      <c r="TUY44" s="292"/>
      <c r="TUZ44" s="292"/>
      <c r="TVA44" s="291"/>
      <c r="TVB44" s="292"/>
      <c r="TVC44" s="292"/>
      <c r="TVD44" s="292"/>
      <c r="TVE44" s="291"/>
      <c r="TVF44" s="292"/>
      <c r="TVG44" s="292"/>
      <c r="TVH44" s="292"/>
      <c r="TVI44" s="291"/>
      <c r="TVJ44" s="292"/>
      <c r="TVK44" s="292"/>
      <c r="TVL44" s="292"/>
      <c r="TVM44" s="291"/>
      <c r="TVN44" s="292"/>
      <c r="TVO44" s="292"/>
      <c r="TVP44" s="292"/>
      <c r="TVQ44" s="291"/>
      <c r="TVR44" s="292"/>
      <c r="TVS44" s="292"/>
      <c r="TVT44" s="292"/>
      <c r="TVU44" s="291"/>
      <c r="TVV44" s="292"/>
      <c r="TVW44" s="292"/>
      <c r="TVX44" s="292"/>
      <c r="TVY44" s="291"/>
      <c r="TVZ44" s="292"/>
      <c r="TWA44" s="292"/>
      <c r="TWB44" s="292"/>
      <c r="TWC44" s="291"/>
      <c r="TWD44" s="292"/>
      <c r="TWE44" s="292"/>
      <c r="TWF44" s="292"/>
      <c r="TWG44" s="291"/>
      <c r="TWH44" s="292"/>
      <c r="TWI44" s="292"/>
      <c r="TWJ44" s="292"/>
      <c r="TWK44" s="291"/>
      <c r="TWL44" s="292"/>
      <c r="TWM44" s="292"/>
      <c r="TWN44" s="292"/>
      <c r="TWO44" s="291"/>
      <c r="TWP44" s="292"/>
      <c r="TWQ44" s="292"/>
      <c r="TWR44" s="292"/>
      <c r="TWS44" s="291"/>
      <c r="TWT44" s="292"/>
      <c r="TWU44" s="292"/>
      <c r="TWV44" s="292"/>
      <c r="TWW44" s="291"/>
      <c r="TWX44" s="292"/>
      <c r="TWY44" s="292"/>
      <c r="TWZ44" s="292"/>
      <c r="TXA44" s="291"/>
      <c r="TXB44" s="292"/>
      <c r="TXC44" s="292"/>
      <c r="TXD44" s="292"/>
      <c r="TXE44" s="291"/>
      <c r="TXF44" s="292"/>
      <c r="TXG44" s="292"/>
      <c r="TXH44" s="292"/>
      <c r="TXI44" s="291"/>
      <c r="TXJ44" s="292"/>
      <c r="TXK44" s="292"/>
      <c r="TXL44" s="292"/>
      <c r="TXM44" s="291"/>
      <c r="TXN44" s="292"/>
      <c r="TXO44" s="292"/>
      <c r="TXP44" s="292"/>
      <c r="TXQ44" s="291"/>
      <c r="TXR44" s="292"/>
      <c r="TXS44" s="292"/>
      <c r="TXT44" s="292"/>
      <c r="TXU44" s="291"/>
      <c r="TXV44" s="292"/>
      <c r="TXW44" s="292"/>
      <c r="TXX44" s="292"/>
      <c r="TXY44" s="291"/>
      <c r="TXZ44" s="292"/>
      <c r="TYA44" s="292"/>
      <c r="TYB44" s="292"/>
      <c r="TYC44" s="291"/>
      <c r="TYD44" s="292"/>
      <c r="TYE44" s="292"/>
      <c r="TYF44" s="292"/>
      <c r="TYG44" s="291"/>
      <c r="TYH44" s="292"/>
      <c r="TYI44" s="292"/>
      <c r="TYJ44" s="292"/>
      <c r="TYK44" s="291"/>
      <c r="TYL44" s="292"/>
      <c r="TYM44" s="292"/>
      <c r="TYN44" s="292"/>
      <c r="TYO44" s="291"/>
      <c r="TYP44" s="292"/>
      <c r="TYQ44" s="292"/>
      <c r="TYR44" s="292"/>
      <c r="TYS44" s="291"/>
      <c r="TYT44" s="292"/>
      <c r="TYU44" s="292"/>
      <c r="TYV44" s="292"/>
      <c r="TYW44" s="291"/>
      <c r="TYX44" s="292"/>
      <c r="TYY44" s="292"/>
      <c r="TYZ44" s="292"/>
      <c r="TZA44" s="291"/>
      <c r="TZB44" s="292"/>
      <c r="TZC44" s="292"/>
      <c r="TZD44" s="292"/>
      <c r="TZE44" s="291"/>
      <c r="TZF44" s="292"/>
      <c r="TZG44" s="292"/>
      <c r="TZH44" s="292"/>
      <c r="TZI44" s="291"/>
      <c r="TZJ44" s="292"/>
      <c r="TZK44" s="292"/>
      <c r="TZL44" s="292"/>
      <c r="TZM44" s="291"/>
      <c r="TZN44" s="292"/>
      <c r="TZO44" s="292"/>
      <c r="TZP44" s="292"/>
      <c r="TZQ44" s="291"/>
      <c r="TZR44" s="292"/>
      <c r="TZS44" s="292"/>
      <c r="TZT44" s="292"/>
      <c r="TZU44" s="291"/>
      <c r="TZV44" s="292"/>
      <c r="TZW44" s="292"/>
      <c r="TZX44" s="292"/>
      <c r="TZY44" s="291"/>
      <c r="TZZ44" s="292"/>
      <c r="UAA44" s="292"/>
      <c r="UAB44" s="292"/>
      <c r="UAC44" s="291"/>
      <c r="UAD44" s="292"/>
      <c r="UAE44" s="292"/>
      <c r="UAF44" s="292"/>
      <c r="UAG44" s="291"/>
      <c r="UAH44" s="292"/>
      <c r="UAI44" s="292"/>
      <c r="UAJ44" s="292"/>
      <c r="UAK44" s="291"/>
      <c r="UAL44" s="292"/>
      <c r="UAM44" s="292"/>
      <c r="UAN44" s="292"/>
      <c r="UAO44" s="291"/>
      <c r="UAP44" s="292"/>
      <c r="UAQ44" s="292"/>
      <c r="UAR44" s="292"/>
      <c r="UAS44" s="291"/>
      <c r="UAT44" s="292"/>
      <c r="UAU44" s="292"/>
      <c r="UAV44" s="292"/>
      <c r="UAW44" s="291"/>
      <c r="UAX44" s="292"/>
      <c r="UAY44" s="292"/>
      <c r="UAZ44" s="292"/>
      <c r="UBA44" s="291"/>
      <c r="UBB44" s="292"/>
      <c r="UBC44" s="292"/>
      <c r="UBD44" s="292"/>
      <c r="UBE44" s="291"/>
      <c r="UBF44" s="292"/>
      <c r="UBG44" s="292"/>
      <c r="UBH44" s="292"/>
      <c r="UBI44" s="291"/>
      <c r="UBJ44" s="292"/>
      <c r="UBK44" s="292"/>
      <c r="UBL44" s="292"/>
      <c r="UBM44" s="291"/>
      <c r="UBN44" s="292"/>
      <c r="UBO44" s="292"/>
      <c r="UBP44" s="292"/>
      <c r="UBQ44" s="291"/>
      <c r="UBR44" s="292"/>
      <c r="UBS44" s="292"/>
      <c r="UBT44" s="292"/>
      <c r="UBU44" s="291"/>
      <c r="UBV44" s="292"/>
      <c r="UBW44" s="292"/>
      <c r="UBX44" s="292"/>
      <c r="UBY44" s="291"/>
      <c r="UBZ44" s="292"/>
      <c r="UCA44" s="292"/>
      <c r="UCB44" s="292"/>
      <c r="UCC44" s="291"/>
      <c r="UCD44" s="292"/>
      <c r="UCE44" s="292"/>
      <c r="UCF44" s="292"/>
      <c r="UCG44" s="291"/>
      <c r="UCH44" s="292"/>
      <c r="UCI44" s="292"/>
      <c r="UCJ44" s="292"/>
      <c r="UCK44" s="291"/>
      <c r="UCL44" s="292"/>
      <c r="UCM44" s="292"/>
      <c r="UCN44" s="292"/>
      <c r="UCO44" s="291"/>
      <c r="UCP44" s="292"/>
      <c r="UCQ44" s="292"/>
      <c r="UCR44" s="292"/>
      <c r="UCS44" s="291"/>
      <c r="UCT44" s="292"/>
      <c r="UCU44" s="292"/>
      <c r="UCV44" s="292"/>
      <c r="UCW44" s="291"/>
      <c r="UCX44" s="292"/>
      <c r="UCY44" s="292"/>
      <c r="UCZ44" s="292"/>
      <c r="UDA44" s="291"/>
      <c r="UDB44" s="292"/>
      <c r="UDC44" s="292"/>
      <c r="UDD44" s="292"/>
      <c r="UDE44" s="291"/>
      <c r="UDF44" s="292"/>
      <c r="UDG44" s="292"/>
      <c r="UDH44" s="292"/>
      <c r="UDI44" s="291"/>
      <c r="UDJ44" s="292"/>
      <c r="UDK44" s="292"/>
      <c r="UDL44" s="292"/>
      <c r="UDM44" s="291"/>
      <c r="UDN44" s="292"/>
      <c r="UDO44" s="292"/>
      <c r="UDP44" s="292"/>
      <c r="UDQ44" s="291"/>
      <c r="UDR44" s="292"/>
      <c r="UDS44" s="292"/>
      <c r="UDT44" s="292"/>
      <c r="UDU44" s="291"/>
      <c r="UDV44" s="292"/>
      <c r="UDW44" s="292"/>
      <c r="UDX44" s="292"/>
      <c r="UDY44" s="291"/>
      <c r="UDZ44" s="292"/>
      <c r="UEA44" s="292"/>
      <c r="UEB44" s="292"/>
      <c r="UEC44" s="291"/>
      <c r="UED44" s="292"/>
      <c r="UEE44" s="292"/>
      <c r="UEF44" s="292"/>
      <c r="UEG44" s="291"/>
      <c r="UEH44" s="292"/>
      <c r="UEI44" s="292"/>
      <c r="UEJ44" s="292"/>
      <c r="UEK44" s="291"/>
      <c r="UEL44" s="292"/>
      <c r="UEM44" s="292"/>
      <c r="UEN44" s="292"/>
      <c r="UEO44" s="291"/>
      <c r="UEP44" s="292"/>
      <c r="UEQ44" s="292"/>
      <c r="UER44" s="292"/>
      <c r="UES44" s="291"/>
      <c r="UET44" s="292"/>
      <c r="UEU44" s="292"/>
      <c r="UEV44" s="292"/>
      <c r="UEW44" s="291"/>
      <c r="UEX44" s="292"/>
      <c r="UEY44" s="292"/>
      <c r="UEZ44" s="292"/>
      <c r="UFA44" s="291"/>
      <c r="UFB44" s="292"/>
      <c r="UFC44" s="292"/>
      <c r="UFD44" s="292"/>
      <c r="UFE44" s="291"/>
      <c r="UFF44" s="292"/>
      <c r="UFG44" s="292"/>
      <c r="UFH44" s="292"/>
      <c r="UFI44" s="291"/>
      <c r="UFJ44" s="292"/>
      <c r="UFK44" s="292"/>
      <c r="UFL44" s="292"/>
      <c r="UFM44" s="291"/>
      <c r="UFN44" s="292"/>
      <c r="UFO44" s="292"/>
      <c r="UFP44" s="292"/>
      <c r="UFQ44" s="291"/>
      <c r="UFR44" s="292"/>
      <c r="UFS44" s="292"/>
      <c r="UFT44" s="292"/>
      <c r="UFU44" s="291"/>
      <c r="UFV44" s="292"/>
      <c r="UFW44" s="292"/>
      <c r="UFX44" s="292"/>
      <c r="UFY44" s="291"/>
      <c r="UFZ44" s="292"/>
      <c r="UGA44" s="292"/>
      <c r="UGB44" s="292"/>
      <c r="UGC44" s="291"/>
      <c r="UGD44" s="292"/>
      <c r="UGE44" s="292"/>
      <c r="UGF44" s="292"/>
      <c r="UGG44" s="291"/>
      <c r="UGH44" s="292"/>
      <c r="UGI44" s="292"/>
      <c r="UGJ44" s="292"/>
      <c r="UGK44" s="291"/>
      <c r="UGL44" s="292"/>
      <c r="UGM44" s="292"/>
      <c r="UGN44" s="292"/>
      <c r="UGO44" s="291"/>
      <c r="UGP44" s="292"/>
      <c r="UGQ44" s="292"/>
      <c r="UGR44" s="292"/>
      <c r="UGS44" s="291"/>
      <c r="UGT44" s="292"/>
      <c r="UGU44" s="292"/>
      <c r="UGV44" s="292"/>
      <c r="UGW44" s="291"/>
      <c r="UGX44" s="292"/>
      <c r="UGY44" s="292"/>
      <c r="UGZ44" s="292"/>
      <c r="UHA44" s="291"/>
      <c r="UHB44" s="292"/>
      <c r="UHC44" s="292"/>
      <c r="UHD44" s="292"/>
      <c r="UHE44" s="291"/>
      <c r="UHF44" s="292"/>
      <c r="UHG44" s="292"/>
      <c r="UHH44" s="292"/>
      <c r="UHI44" s="291"/>
      <c r="UHJ44" s="292"/>
      <c r="UHK44" s="292"/>
      <c r="UHL44" s="292"/>
      <c r="UHM44" s="291"/>
      <c r="UHN44" s="292"/>
      <c r="UHO44" s="292"/>
      <c r="UHP44" s="292"/>
      <c r="UHQ44" s="291"/>
      <c r="UHR44" s="292"/>
      <c r="UHS44" s="292"/>
      <c r="UHT44" s="292"/>
      <c r="UHU44" s="291"/>
      <c r="UHV44" s="292"/>
      <c r="UHW44" s="292"/>
      <c r="UHX44" s="292"/>
      <c r="UHY44" s="291"/>
      <c r="UHZ44" s="292"/>
      <c r="UIA44" s="292"/>
      <c r="UIB44" s="292"/>
      <c r="UIC44" s="291"/>
      <c r="UID44" s="292"/>
      <c r="UIE44" s="292"/>
      <c r="UIF44" s="292"/>
      <c r="UIG44" s="291"/>
      <c r="UIH44" s="292"/>
      <c r="UII44" s="292"/>
      <c r="UIJ44" s="292"/>
      <c r="UIK44" s="291"/>
      <c r="UIL44" s="292"/>
      <c r="UIM44" s="292"/>
      <c r="UIN44" s="292"/>
      <c r="UIO44" s="291"/>
      <c r="UIP44" s="292"/>
      <c r="UIQ44" s="292"/>
      <c r="UIR44" s="292"/>
      <c r="UIS44" s="291"/>
      <c r="UIT44" s="292"/>
      <c r="UIU44" s="292"/>
      <c r="UIV44" s="292"/>
      <c r="UIW44" s="291"/>
      <c r="UIX44" s="292"/>
      <c r="UIY44" s="292"/>
      <c r="UIZ44" s="292"/>
      <c r="UJA44" s="291"/>
      <c r="UJB44" s="292"/>
      <c r="UJC44" s="292"/>
      <c r="UJD44" s="292"/>
      <c r="UJE44" s="291"/>
      <c r="UJF44" s="292"/>
      <c r="UJG44" s="292"/>
      <c r="UJH44" s="292"/>
      <c r="UJI44" s="291"/>
      <c r="UJJ44" s="292"/>
      <c r="UJK44" s="292"/>
      <c r="UJL44" s="292"/>
      <c r="UJM44" s="291"/>
      <c r="UJN44" s="292"/>
      <c r="UJO44" s="292"/>
      <c r="UJP44" s="292"/>
      <c r="UJQ44" s="291"/>
      <c r="UJR44" s="292"/>
      <c r="UJS44" s="292"/>
      <c r="UJT44" s="292"/>
      <c r="UJU44" s="291"/>
      <c r="UJV44" s="292"/>
      <c r="UJW44" s="292"/>
      <c r="UJX44" s="292"/>
      <c r="UJY44" s="291"/>
      <c r="UJZ44" s="292"/>
      <c r="UKA44" s="292"/>
      <c r="UKB44" s="292"/>
      <c r="UKC44" s="291"/>
      <c r="UKD44" s="292"/>
      <c r="UKE44" s="292"/>
      <c r="UKF44" s="292"/>
      <c r="UKG44" s="291"/>
      <c r="UKH44" s="292"/>
      <c r="UKI44" s="292"/>
      <c r="UKJ44" s="292"/>
      <c r="UKK44" s="291"/>
      <c r="UKL44" s="292"/>
      <c r="UKM44" s="292"/>
      <c r="UKN44" s="292"/>
      <c r="UKO44" s="291"/>
      <c r="UKP44" s="292"/>
      <c r="UKQ44" s="292"/>
      <c r="UKR44" s="292"/>
      <c r="UKS44" s="291"/>
      <c r="UKT44" s="292"/>
      <c r="UKU44" s="292"/>
      <c r="UKV44" s="292"/>
      <c r="UKW44" s="291"/>
      <c r="UKX44" s="292"/>
      <c r="UKY44" s="292"/>
      <c r="UKZ44" s="292"/>
      <c r="ULA44" s="291"/>
      <c r="ULB44" s="292"/>
      <c r="ULC44" s="292"/>
      <c r="ULD44" s="292"/>
      <c r="ULE44" s="291"/>
      <c r="ULF44" s="292"/>
      <c r="ULG44" s="292"/>
      <c r="ULH44" s="292"/>
      <c r="ULI44" s="291"/>
      <c r="ULJ44" s="292"/>
      <c r="ULK44" s="292"/>
      <c r="ULL44" s="292"/>
      <c r="ULM44" s="291"/>
      <c r="ULN44" s="292"/>
      <c r="ULO44" s="292"/>
      <c r="ULP44" s="292"/>
      <c r="ULQ44" s="291"/>
      <c r="ULR44" s="292"/>
      <c r="ULS44" s="292"/>
      <c r="ULT44" s="292"/>
      <c r="ULU44" s="291"/>
      <c r="ULV44" s="292"/>
      <c r="ULW44" s="292"/>
      <c r="ULX44" s="292"/>
      <c r="ULY44" s="291"/>
      <c r="ULZ44" s="292"/>
      <c r="UMA44" s="292"/>
      <c r="UMB44" s="292"/>
      <c r="UMC44" s="291"/>
      <c r="UMD44" s="292"/>
      <c r="UME44" s="292"/>
      <c r="UMF44" s="292"/>
      <c r="UMG44" s="291"/>
      <c r="UMH44" s="292"/>
      <c r="UMI44" s="292"/>
      <c r="UMJ44" s="292"/>
      <c r="UMK44" s="291"/>
      <c r="UML44" s="292"/>
      <c r="UMM44" s="292"/>
      <c r="UMN44" s="292"/>
      <c r="UMO44" s="291"/>
      <c r="UMP44" s="292"/>
      <c r="UMQ44" s="292"/>
      <c r="UMR44" s="292"/>
      <c r="UMS44" s="291"/>
      <c r="UMT44" s="292"/>
      <c r="UMU44" s="292"/>
      <c r="UMV44" s="292"/>
      <c r="UMW44" s="291"/>
      <c r="UMX44" s="292"/>
      <c r="UMY44" s="292"/>
      <c r="UMZ44" s="292"/>
      <c r="UNA44" s="291"/>
      <c r="UNB44" s="292"/>
      <c r="UNC44" s="292"/>
      <c r="UND44" s="292"/>
      <c r="UNE44" s="291"/>
      <c r="UNF44" s="292"/>
      <c r="UNG44" s="292"/>
      <c r="UNH44" s="292"/>
      <c r="UNI44" s="291"/>
      <c r="UNJ44" s="292"/>
      <c r="UNK44" s="292"/>
      <c r="UNL44" s="292"/>
      <c r="UNM44" s="291"/>
      <c r="UNN44" s="292"/>
      <c r="UNO44" s="292"/>
      <c r="UNP44" s="292"/>
      <c r="UNQ44" s="291"/>
      <c r="UNR44" s="292"/>
      <c r="UNS44" s="292"/>
      <c r="UNT44" s="292"/>
      <c r="UNU44" s="291"/>
      <c r="UNV44" s="292"/>
      <c r="UNW44" s="292"/>
      <c r="UNX44" s="292"/>
      <c r="UNY44" s="291"/>
      <c r="UNZ44" s="292"/>
      <c r="UOA44" s="292"/>
      <c r="UOB44" s="292"/>
      <c r="UOC44" s="291"/>
      <c r="UOD44" s="292"/>
      <c r="UOE44" s="292"/>
      <c r="UOF44" s="292"/>
      <c r="UOG44" s="291"/>
      <c r="UOH44" s="292"/>
      <c r="UOI44" s="292"/>
      <c r="UOJ44" s="292"/>
      <c r="UOK44" s="291"/>
      <c r="UOL44" s="292"/>
      <c r="UOM44" s="292"/>
      <c r="UON44" s="292"/>
      <c r="UOO44" s="291"/>
      <c r="UOP44" s="292"/>
      <c r="UOQ44" s="292"/>
      <c r="UOR44" s="292"/>
      <c r="UOS44" s="291"/>
      <c r="UOT44" s="292"/>
      <c r="UOU44" s="292"/>
      <c r="UOV44" s="292"/>
      <c r="UOW44" s="291"/>
      <c r="UOX44" s="292"/>
      <c r="UOY44" s="292"/>
      <c r="UOZ44" s="292"/>
      <c r="UPA44" s="291"/>
      <c r="UPB44" s="292"/>
      <c r="UPC44" s="292"/>
      <c r="UPD44" s="292"/>
      <c r="UPE44" s="291"/>
      <c r="UPF44" s="292"/>
      <c r="UPG44" s="292"/>
      <c r="UPH44" s="292"/>
      <c r="UPI44" s="291"/>
      <c r="UPJ44" s="292"/>
      <c r="UPK44" s="292"/>
      <c r="UPL44" s="292"/>
      <c r="UPM44" s="291"/>
      <c r="UPN44" s="292"/>
      <c r="UPO44" s="292"/>
      <c r="UPP44" s="292"/>
      <c r="UPQ44" s="291"/>
      <c r="UPR44" s="292"/>
      <c r="UPS44" s="292"/>
      <c r="UPT44" s="292"/>
      <c r="UPU44" s="291"/>
      <c r="UPV44" s="292"/>
      <c r="UPW44" s="292"/>
      <c r="UPX44" s="292"/>
      <c r="UPY44" s="291"/>
      <c r="UPZ44" s="292"/>
      <c r="UQA44" s="292"/>
      <c r="UQB44" s="292"/>
      <c r="UQC44" s="291"/>
      <c r="UQD44" s="292"/>
      <c r="UQE44" s="292"/>
      <c r="UQF44" s="292"/>
      <c r="UQG44" s="291"/>
      <c r="UQH44" s="292"/>
      <c r="UQI44" s="292"/>
      <c r="UQJ44" s="292"/>
      <c r="UQK44" s="291"/>
      <c r="UQL44" s="292"/>
      <c r="UQM44" s="292"/>
      <c r="UQN44" s="292"/>
      <c r="UQO44" s="291"/>
      <c r="UQP44" s="292"/>
      <c r="UQQ44" s="292"/>
      <c r="UQR44" s="292"/>
      <c r="UQS44" s="291"/>
      <c r="UQT44" s="292"/>
      <c r="UQU44" s="292"/>
      <c r="UQV44" s="292"/>
      <c r="UQW44" s="291"/>
      <c r="UQX44" s="292"/>
      <c r="UQY44" s="292"/>
      <c r="UQZ44" s="292"/>
      <c r="URA44" s="291"/>
      <c r="URB44" s="292"/>
      <c r="URC44" s="292"/>
      <c r="URD44" s="292"/>
      <c r="URE44" s="291"/>
      <c r="URF44" s="292"/>
      <c r="URG44" s="292"/>
      <c r="URH44" s="292"/>
      <c r="URI44" s="291"/>
      <c r="URJ44" s="292"/>
      <c r="URK44" s="292"/>
      <c r="URL44" s="292"/>
      <c r="URM44" s="291"/>
      <c r="URN44" s="292"/>
      <c r="URO44" s="292"/>
      <c r="URP44" s="292"/>
      <c r="URQ44" s="291"/>
      <c r="URR44" s="292"/>
      <c r="URS44" s="292"/>
      <c r="URT44" s="292"/>
      <c r="URU44" s="291"/>
      <c r="URV44" s="292"/>
      <c r="URW44" s="292"/>
      <c r="URX44" s="292"/>
      <c r="URY44" s="291"/>
      <c r="URZ44" s="292"/>
      <c r="USA44" s="292"/>
      <c r="USB44" s="292"/>
      <c r="USC44" s="291"/>
      <c r="USD44" s="292"/>
      <c r="USE44" s="292"/>
      <c r="USF44" s="292"/>
      <c r="USG44" s="291"/>
      <c r="USH44" s="292"/>
      <c r="USI44" s="292"/>
      <c r="USJ44" s="292"/>
      <c r="USK44" s="291"/>
      <c r="USL44" s="292"/>
      <c r="USM44" s="292"/>
      <c r="USN44" s="292"/>
      <c r="USO44" s="291"/>
      <c r="USP44" s="292"/>
      <c r="USQ44" s="292"/>
      <c r="USR44" s="292"/>
      <c r="USS44" s="291"/>
      <c r="UST44" s="292"/>
      <c r="USU44" s="292"/>
      <c r="USV44" s="292"/>
      <c r="USW44" s="291"/>
      <c r="USX44" s="292"/>
      <c r="USY44" s="292"/>
      <c r="USZ44" s="292"/>
      <c r="UTA44" s="291"/>
      <c r="UTB44" s="292"/>
      <c r="UTC44" s="292"/>
      <c r="UTD44" s="292"/>
      <c r="UTE44" s="291"/>
      <c r="UTF44" s="292"/>
      <c r="UTG44" s="292"/>
      <c r="UTH44" s="292"/>
      <c r="UTI44" s="291"/>
      <c r="UTJ44" s="292"/>
      <c r="UTK44" s="292"/>
      <c r="UTL44" s="292"/>
      <c r="UTM44" s="291"/>
      <c r="UTN44" s="292"/>
      <c r="UTO44" s="292"/>
      <c r="UTP44" s="292"/>
      <c r="UTQ44" s="291"/>
      <c r="UTR44" s="292"/>
      <c r="UTS44" s="292"/>
      <c r="UTT44" s="292"/>
      <c r="UTU44" s="291"/>
      <c r="UTV44" s="292"/>
      <c r="UTW44" s="292"/>
      <c r="UTX44" s="292"/>
      <c r="UTY44" s="291"/>
      <c r="UTZ44" s="292"/>
      <c r="UUA44" s="292"/>
      <c r="UUB44" s="292"/>
      <c r="UUC44" s="291"/>
      <c r="UUD44" s="292"/>
      <c r="UUE44" s="292"/>
      <c r="UUF44" s="292"/>
      <c r="UUG44" s="291"/>
      <c r="UUH44" s="292"/>
      <c r="UUI44" s="292"/>
      <c r="UUJ44" s="292"/>
      <c r="UUK44" s="291"/>
      <c r="UUL44" s="292"/>
      <c r="UUM44" s="292"/>
      <c r="UUN44" s="292"/>
      <c r="UUO44" s="291"/>
      <c r="UUP44" s="292"/>
      <c r="UUQ44" s="292"/>
      <c r="UUR44" s="292"/>
      <c r="UUS44" s="291"/>
      <c r="UUT44" s="292"/>
      <c r="UUU44" s="292"/>
      <c r="UUV44" s="292"/>
      <c r="UUW44" s="291"/>
      <c r="UUX44" s="292"/>
      <c r="UUY44" s="292"/>
      <c r="UUZ44" s="292"/>
      <c r="UVA44" s="291"/>
      <c r="UVB44" s="292"/>
      <c r="UVC44" s="292"/>
      <c r="UVD44" s="292"/>
      <c r="UVE44" s="291"/>
      <c r="UVF44" s="292"/>
      <c r="UVG44" s="292"/>
      <c r="UVH44" s="292"/>
      <c r="UVI44" s="291"/>
      <c r="UVJ44" s="292"/>
      <c r="UVK44" s="292"/>
      <c r="UVL44" s="292"/>
      <c r="UVM44" s="291"/>
      <c r="UVN44" s="292"/>
      <c r="UVO44" s="292"/>
      <c r="UVP44" s="292"/>
      <c r="UVQ44" s="291"/>
      <c r="UVR44" s="292"/>
      <c r="UVS44" s="292"/>
      <c r="UVT44" s="292"/>
      <c r="UVU44" s="291"/>
      <c r="UVV44" s="292"/>
      <c r="UVW44" s="292"/>
      <c r="UVX44" s="292"/>
      <c r="UVY44" s="291"/>
      <c r="UVZ44" s="292"/>
      <c r="UWA44" s="292"/>
      <c r="UWB44" s="292"/>
      <c r="UWC44" s="291"/>
      <c r="UWD44" s="292"/>
      <c r="UWE44" s="292"/>
      <c r="UWF44" s="292"/>
      <c r="UWG44" s="291"/>
      <c r="UWH44" s="292"/>
      <c r="UWI44" s="292"/>
      <c r="UWJ44" s="292"/>
      <c r="UWK44" s="291"/>
      <c r="UWL44" s="292"/>
      <c r="UWM44" s="292"/>
      <c r="UWN44" s="292"/>
      <c r="UWO44" s="291"/>
      <c r="UWP44" s="292"/>
      <c r="UWQ44" s="292"/>
      <c r="UWR44" s="292"/>
      <c r="UWS44" s="291"/>
      <c r="UWT44" s="292"/>
      <c r="UWU44" s="292"/>
      <c r="UWV44" s="292"/>
      <c r="UWW44" s="291"/>
      <c r="UWX44" s="292"/>
      <c r="UWY44" s="292"/>
      <c r="UWZ44" s="292"/>
      <c r="UXA44" s="291"/>
      <c r="UXB44" s="292"/>
      <c r="UXC44" s="292"/>
      <c r="UXD44" s="292"/>
      <c r="UXE44" s="291"/>
      <c r="UXF44" s="292"/>
      <c r="UXG44" s="292"/>
      <c r="UXH44" s="292"/>
      <c r="UXI44" s="291"/>
      <c r="UXJ44" s="292"/>
      <c r="UXK44" s="292"/>
      <c r="UXL44" s="292"/>
      <c r="UXM44" s="291"/>
      <c r="UXN44" s="292"/>
      <c r="UXO44" s="292"/>
      <c r="UXP44" s="292"/>
      <c r="UXQ44" s="291"/>
      <c r="UXR44" s="292"/>
      <c r="UXS44" s="292"/>
      <c r="UXT44" s="292"/>
      <c r="UXU44" s="291"/>
      <c r="UXV44" s="292"/>
      <c r="UXW44" s="292"/>
      <c r="UXX44" s="292"/>
      <c r="UXY44" s="291"/>
      <c r="UXZ44" s="292"/>
      <c r="UYA44" s="292"/>
      <c r="UYB44" s="292"/>
      <c r="UYC44" s="291"/>
      <c r="UYD44" s="292"/>
      <c r="UYE44" s="292"/>
      <c r="UYF44" s="292"/>
      <c r="UYG44" s="291"/>
      <c r="UYH44" s="292"/>
      <c r="UYI44" s="292"/>
      <c r="UYJ44" s="292"/>
      <c r="UYK44" s="291"/>
      <c r="UYL44" s="292"/>
      <c r="UYM44" s="292"/>
      <c r="UYN44" s="292"/>
      <c r="UYO44" s="291"/>
      <c r="UYP44" s="292"/>
      <c r="UYQ44" s="292"/>
      <c r="UYR44" s="292"/>
      <c r="UYS44" s="291"/>
      <c r="UYT44" s="292"/>
      <c r="UYU44" s="292"/>
      <c r="UYV44" s="292"/>
      <c r="UYW44" s="291"/>
      <c r="UYX44" s="292"/>
      <c r="UYY44" s="292"/>
      <c r="UYZ44" s="292"/>
      <c r="UZA44" s="291"/>
      <c r="UZB44" s="292"/>
      <c r="UZC44" s="292"/>
      <c r="UZD44" s="292"/>
      <c r="UZE44" s="291"/>
      <c r="UZF44" s="292"/>
      <c r="UZG44" s="292"/>
      <c r="UZH44" s="292"/>
      <c r="UZI44" s="291"/>
      <c r="UZJ44" s="292"/>
      <c r="UZK44" s="292"/>
      <c r="UZL44" s="292"/>
      <c r="UZM44" s="291"/>
      <c r="UZN44" s="292"/>
      <c r="UZO44" s="292"/>
      <c r="UZP44" s="292"/>
      <c r="UZQ44" s="291"/>
      <c r="UZR44" s="292"/>
      <c r="UZS44" s="292"/>
      <c r="UZT44" s="292"/>
      <c r="UZU44" s="291"/>
      <c r="UZV44" s="292"/>
      <c r="UZW44" s="292"/>
      <c r="UZX44" s="292"/>
      <c r="UZY44" s="291"/>
      <c r="UZZ44" s="292"/>
      <c r="VAA44" s="292"/>
      <c r="VAB44" s="292"/>
      <c r="VAC44" s="291"/>
      <c r="VAD44" s="292"/>
      <c r="VAE44" s="292"/>
      <c r="VAF44" s="292"/>
      <c r="VAG44" s="291"/>
      <c r="VAH44" s="292"/>
      <c r="VAI44" s="292"/>
      <c r="VAJ44" s="292"/>
      <c r="VAK44" s="291"/>
      <c r="VAL44" s="292"/>
      <c r="VAM44" s="292"/>
      <c r="VAN44" s="292"/>
      <c r="VAO44" s="291"/>
      <c r="VAP44" s="292"/>
      <c r="VAQ44" s="292"/>
      <c r="VAR44" s="292"/>
      <c r="VAS44" s="291"/>
      <c r="VAT44" s="292"/>
      <c r="VAU44" s="292"/>
      <c r="VAV44" s="292"/>
      <c r="VAW44" s="291"/>
      <c r="VAX44" s="292"/>
      <c r="VAY44" s="292"/>
      <c r="VAZ44" s="292"/>
      <c r="VBA44" s="291"/>
      <c r="VBB44" s="292"/>
      <c r="VBC44" s="292"/>
      <c r="VBD44" s="292"/>
      <c r="VBE44" s="291"/>
      <c r="VBF44" s="292"/>
      <c r="VBG44" s="292"/>
      <c r="VBH44" s="292"/>
      <c r="VBI44" s="291"/>
      <c r="VBJ44" s="292"/>
      <c r="VBK44" s="292"/>
      <c r="VBL44" s="292"/>
      <c r="VBM44" s="291"/>
      <c r="VBN44" s="292"/>
      <c r="VBO44" s="292"/>
      <c r="VBP44" s="292"/>
      <c r="VBQ44" s="291"/>
      <c r="VBR44" s="292"/>
      <c r="VBS44" s="292"/>
      <c r="VBT44" s="292"/>
      <c r="VBU44" s="291"/>
      <c r="VBV44" s="292"/>
      <c r="VBW44" s="292"/>
      <c r="VBX44" s="292"/>
      <c r="VBY44" s="291"/>
      <c r="VBZ44" s="292"/>
      <c r="VCA44" s="292"/>
      <c r="VCB44" s="292"/>
      <c r="VCC44" s="291"/>
      <c r="VCD44" s="292"/>
      <c r="VCE44" s="292"/>
      <c r="VCF44" s="292"/>
      <c r="VCG44" s="291"/>
      <c r="VCH44" s="292"/>
      <c r="VCI44" s="292"/>
      <c r="VCJ44" s="292"/>
      <c r="VCK44" s="291"/>
      <c r="VCL44" s="292"/>
      <c r="VCM44" s="292"/>
      <c r="VCN44" s="292"/>
      <c r="VCO44" s="291"/>
      <c r="VCP44" s="292"/>
      <c r="VCQ44" s="292"/>
      <c r="VCR44" s="292"/>
      <c r="VCS44" s="291"/>
      <c r="VCT44" s="292"/>
      <c r="VCU44" s="292"/>
      <c r="VCV44" s="292"/>
      <c r="VCW44" s="291"/>
      <c r="VCX44" s="292"/>
      <c r="VCY44" s="292"/>
      <c r="VCZ44" s="292"/>
      <c r="VDA44" s="291"/>
      <c r="VDB44" s="292"/>
      <c r="VDC44" s="292"/>
      <c r="VDD44" s="292"/>
      <c r="VDE44" s="291"/>
      <c r="VDF44" s="292"/>
      <c r="VDG44" s="292"/>
      <c r="VDH44" s="292"/>
      <c r="VDI44" s="291"/>
      <c r="VDJ44" s="292"/>
      <c r="VDK44" s="292"/>
      <c r="VDL44" s="292"/>
      <c r="VDM44" s="291"/>
      <c r="VDN44" s="292"/>
      <c r="VDO44" s="292"/>
      <c r="VDP44" s="292"/>
      <c r="VDQ44" s="291"/>
      <c r="VDR44" s="292"/>
      <c r="VDS44" s="292"/>
      <c r="VDT44" s="292"/>
      <c r="VDU44" s="291"/>
      <c r="VDV44" s="292"/>
      <c r="VDW44" s="292"/>
      <c r="VDX44" s="292"/>
      <c r="VDY44" s="291"/>
      <c r="VDZ44" s="292"/>
      <c r="VEA44" s="292"/>
      <c r="VEB44" s="292"/>
      <c r="VEC44" s="291"/>
      <c r="VED44" s="292"/>
      <c r="VEE44" s="292"/>
      <c r="VEF44" s="292"/>
      <c r="VEG44" s="291"/>
      <c r="VEH44" s="292"/>
      <c r="VEI44" s="292"/>
      <c r="VEJ44" s="292"/>
      <c r="VEK44" s="291"/>
      <c r="VEL44" s="292"/>
      <c r="VEM44" s="292"/>
      <c r="VEN44" s="292"/>
      <c r="VEO44" s="291"/>
      <c r="VEP44" s="292"/>
      <c r="VEQ44" s="292"/>
      <c r="VER44" s="292"/>
      <c r="VES44" s="291"/>
      <c r="VET44" s="292"/>
      <c r="VEU44" s="292"/>
      <c r="VEV44" s="292"/>
      <c r="VEW44" s="291"/>
      <c r="VEX44" s="292"/>
      <c r="VEY44" s="292"/>
      <c r="VEZ44" s="292"/>
      <c r="VFA44" s="291"/>
      <c r="VFB44" s="292"/>
      <c r="VFC44" s="292"/>
      <c r="VFD44" s="292"/>
      <c r="VFE44" s="291"/>
      <c r="VFF44" s="292"/>
      <c r="VFG44" s="292"/>
      <c r="VFH44" s="292"/>
      <c r="VFI44" s="291"/>
      <c r="VFJ44" s="292"/>
      <c r="VFK44" s="292"/>
      <c r="VFL44" s="292"/>
      <c r="VFM44" s="291"/>
      <c r="VFN44" s="292"/>
      <c r="VFO44" s="292"/>
      <c r="VFP44" s="292"/>
      <c r="VFQ44" s="291"/>
      <c r="VFR44" s="292"/>
      <c r="VFS44" s="292"/>
      <c r="VFT44" s="292"/>
      <c r="VFU44" s="291"/>
      <c r="VFV44" s="292"/>
      <c r="VFW44" s="292"/>
      <c r="VFX44" s="292"/>
      <c r="VFY44" s="291"/>
      <c r="VFZ44" s="292"/>
      <c r="VGA44" s="292"/>
      <c r="VGB44" s="292"/>
      <c r="VGC44" s="291"/>
      <c r="VGD44" s="292"/>
      <c r="VGE44" s="292"/>
      <c r="VGF44" s="292"/>
      <c r="VGG44" s="291"/>
      <c r="VGH44" s="292"/>
      <c r="VGI44" s="292"/>
      <c r="VGJ44" s="292"/>
      <c r="VGK44" s="291"/>
      <c r="VGL44" s="292"/>
      <c r="VGM44" s="292"/>
      <c r="VGN44" s="292"/>
      <c r="VGO44" s="291"/>
      <c r="VGP44" s="292"/>
      <c r="VGQ44" s="292"/>
      <c r="VGR44" s="292"/>
      <c r="VGS44" s="291"/>
      <c r="VGT44" s="292"/>
      <c r="VGU44" s="292"/>
      <c r="VGV44" s="292"/>
      <c r="VGW44" s="291"/>
      <c r="VGX44" s="292"/>
      <c r="VGY44" s="292"/>
      <c r="VGZ44" s="292"/>
      <c r="VHA44" s="291"/>
      <c r="VHB44" s="292"/>
      <c r="VHC44" s="292"/>
      <c r="VHD44" s="292"/>
      <c r="VHE44" s="291"/>
      <c r="VHF44" s="292"/>
      <c r="VHG44" s="292"/>
      <c r="VHH44" s="292"/>
      <c r="VHI44" s="291"/>
      <c r="VHJ44" s="292"/>
      <c r="VHK44" s="292"/>
      <c r="VHL44" s="292"/>
      <c r="VHM44" s="291"/>
      <c r="VHN44" s="292"/>
      <c r="VHO44" s="292"/>
      <c r="VHP44" s="292"/>
      <c r="VHQ44" s="291"/>
      <c r="VHR44" s="292"/>
      <c r="VHS44" s="292"/>
      <c r="VHT44" s="292"/>
      <c r="VHU44" s="291"/>
      <c r="VHV44" s="292"/>
      <c r="VHW44" s="292"/>
      <c r="VHX44" s="292"/>
      <c r="VHY44" s="291"/>
      <c r="VHZ44" s="292"/>
      <c r="VIA44" s="292"/>
      <c r="VIB44" s="292"/>
      <c r="VIC44" s="291"/>
      <c r="VID44" s="292"/>
      <c r="VIE44" s="292"/>
      <c r="VIF44" s="292"/>
      <c r="VIG44" s="291"/>
      <c r="VIH44" s="292"/>
      <c r="VII44" s="292"/>
      <c r="VIJ44" s="292"/>
      <c r="VIK44" s="291"/>
      <c r="VIL44" s="292"/>
      <c r="VIM44" s="292"/>
      <c r="VIN44" s="292"/>
      <c r="VIO44" s="291"/>
      <c r="VIP44" s="292"/>
      <c r="VIQ44" s="292"/>
      <c r="VIR44" s="292"/>
      <c r="VIS44" s="291"/>
      <c r="VIT44" s="292"/>
      <c r="VIU44" s="292"/>
      <c r="VIV44" s="292"/>
      <c r="VIW44" s="291"/>
      <c r="VIX44" s="292"/>
      <c r="VIY44" s="292"/>
      <c r="VIZ44" s="292"/>
      <c r="VJA44" s="291"/>
      <c r="VJB44" s="292"/>
      <c r="VJC44" s="292"/>
      <c r="VJD44" s="292"/>
      <c r="VJE44" s="291"/>
      <c r="VJF44" s="292"/>
      <c r="VJG44" s="292"/>
      <c r="VJH44" s="292"/>
      <c r="VJI44" s="291"/>
      <c r="VJJ44" s="292"/>
      <c r="VJK44" s="292"/>
      <c r="VJL44" s="292"/>
      <c r="VJM44" s="291"/>
      <c r="VJN44" s="292"/>
      <c r="VJO44" s="292"/>
      <c r="VJP44" s="292"/>
      <c r="VJQ44" s="291"/>
      <c r="VJR44" s="292"/>
      <c r="VJS44" s="292"/>
      <c r="VJT44" s="292"/>
      <c r="VJU44" s="291"/>
      <c r="VJV44" s="292"/>
      <c r="VJW44" s="292"/>
      <c r="VJX44" s="292"/>
      <c r="VJY44" s="291"/>
      <c r="VJZ44" s="292"/>
      <c r="VKA44" s="292"/>
      <c r="VKB44" s="292"/>
      <c r="VKC44" s="291"/>
      <c r="VKD44" s="292"/>
      <c r="VKE44" s="292"/>
      <c r="VKF44" s="292"/>
      <c r="VKG44" s="291"/>
      <c r="VKH44" s="292"/>
      <c r="VKI44" s="292"/>
      <c r="VKJ44" s="292"/>
      <c r="VKK44" s="291"/>
      <c r="VKL44" s="292"/>
      <c r="VKM44" s="292"/>
      <c r="VKN44" s="292"/>
      <c r="VKO44" s="291"/>
      <c r="VKP44" s="292"/>
      <c r="VKQ44" s="292"/>
      <c r="VKR44" s="292"/>
      <c r="VKS44" s="291"/>
      <c r="VKT44" s="292"/>
      <c r="VKU44" s="292"/>
      <c r="VKV44" s="292"/>
      <c r="VKW44" s="291"/>
      <c r="VKX44" s="292"/>
      <c r="VKY44" s="292"/>
      <c r="VKZ44" s="292"/>
      <c r="VLA44" s="291"/>
      <c r="VLB44" s="292"/>
      <c r="VLC44" s="292"/>
      <c r="VLD44" s="292"/>
      <c r="VLE44" s="291"/>
      <c r="VLF44" s="292"/>
      <c r="VLG44" s="292"/>
      <c r="VLH44" s="292"/>
      <c r="VLI44" s="291"/>
      <c r="VLJ44" s="292"/>
      <c r="VLK44" s="292"/>
      <c r="VLL44" s="292"/>
      <c r="VLM44" s="291"/>
      <c r="VLN44" s="292"/>
      <c r="VLO44" s="292"/>
      <c r="VLP44" s="292"/>
      <c r="VLQ44" s="291"/>
      <c r="VLR44" s="292"/>
      <c r="VLS44" s="292"/>
      <c r="VLT44" s="292"/>
      <c r="VLU44" s="291"/>
      <c r="VLV44" s="292"/>
      <c r="VLW44" s="292"/>
      <c r="VLX44" s="292"/>
      <c r="VLY44" s="291"/>
      <c r="VLZ44" s="292"/>
      <c r="VMA44" s="292"/>
      <c r="VMB44" s="292"/>
      <c r="VMC44" s="291"/>
      <c r="VMD44" s="292"/>
      <c r="VME44" s="292"/>
      <c r="VMF44" s="292"/>
      <c r="VMG44" s="291"/>
      <c r="VMH44" s="292"/>
      <c r="VMI44" s="292"/>
      <c r="VMJ44" s="292"/>
      <c r="VMK44" s="291"/>
      <c r="VML44" s="292"/>
      <c r="VMM44" s="292"/>
      <c r="VMN44" s="292"/>
      <c r="VMO44" s="291"/>
      <c r="VMP44" s="292"/>
      <c r="VMQ44" s="292"/>
      <c r="VMR44" s="292"/>
      <c r="VMS44" s="291"/>
      <c r="VMT44" s="292"/>
      <c r="VMU44" s="292"/>
      <c r="VMV44" s="292"/>
      <c r="VMW44" s="291"/>
      <c r="VMX44" s="292"/>
      <c r="VMY44" s="292"/>
      <c r="VMZ44" s="292"/>
      <c r="VNA44" s="291"/>
      <c r="VNB44" s="292"/>
      <c r="VNC44" s="292"/>
      <c r="VND44" s="292"/>
      <c r="VNE44" s="291"/>
      <c r="VNF44" s="292"/>
      <c r="VNG44" s="292"/>
      <c r="VNH44" s="292"/>
      <c r="VNI44" s="291"/>
      <c r="VNJ44" s="292"/>
      <c r="VNK44" s="292"/>
      <c r="VNL44" s="292"/>
      <c r="VNM44" s="291"/>
      <c r="VNN44" s="292"/>
      <c r="VNO44" s="292"/>
      <c r="VNP44" s="292"/>
      <c r="VNQ44" s="291"/>
      <c r="VNR44" s="292"/>
      <c r="VNS44" s="292"/>
      <c r="VNT44" s="292"/>
      <c r="VNU44" s="291"/>
      <c r="VNV44" s="292"/>
      <c r="VNW44" s="292"/>
      <c r="VNX44" s="292"/>
      <c r="VNY44" s="291"/>
      <c r="VNZ44" s="292"/>
      <c r="VOA44" s="292"/>
      <c r="VOB44" s="292"/>
      <c r="VOC44" s="291"/>
      <c r="VOD44" s="292"/>
      <c r="VOE44" s="292"/>
      <c r="VOF44" s="292"/>
      <c r="VOG44" s="291"/>
      <c r="VOH44" s="292"/>
      <c r="VOI44" s="292"/>
      <c r="VOJ44" s="292"/>
      <c r="VOK44" s="291"/>
      <c r="VOL44" s="292"/>
      <c r="VOM44" s="292"/>
      <c r="VON44" s="292"/>
      <c r="VOO44" s="291"/>
      <c r="VOP44" s="292"/>
      <c r="VOQ44" s="292"/>
      <c r="VOR44" s="292"/>
      <c r="VOS44" s="291"/>
      <c r="VOT44" s="292"/>
      <c r="VOU44" s="292"/>
      <c r="VOV44" s="292"/>
      <c r="VOW44" s="291"/>
      <c r="VOX44" s="292"/>
      <c r="VOY44" s="292"/>
      <c r="VOZ44" s="292"/>
      <c r="VPA44" s="291"/>
      <c r="VPB44" s="292"/>
      <c r="VPC44" s="292"/>
      <c r="VPD44" s="292"/>
      <c r="VPE44" s="291"/>
      <c r="VPF44" s="292"/>
      <c r="VPG44" s="292"/>
      <c r="VPH44" s="292"/>
      <c r="VPI44" s="291"/>
      <c r="VPJ44" s="292"/>
      <c r="VPK44" s="292"/>
      <c r="VPL44" s="292"/>
      <c r="VPM44" s="291"/>
      <c r="VPN44" s="292"/>
      <c r="VPO44" s="292"/>
      <c r="VPP44" s="292"/>
      <c r="VPQ44" s="291"/>
      <c r="VPR44" s="292"/>
      <c r="VPS44" s="292"/>
      <c r="VPT44" s="292"/>
      <c r="VPU44" s="291"/>
      <c r="VPV44" s="292"/>
      <c r="VPW44" s="292"/>
      <c r="VPX44" s="292"/>
      <c r="VPY44" s="291"/>
      <c r="VPZ44" s="292"/>
      <c r="VQA44" s="292"/>
      <c r="VQB44" s="292"/>
      <c r="VQC44" s="291"/>
      <c r="VQD44" s="292"/>
      <c r="VQE44" s="292"/>
      <c r="VQF44" s="292"/>
      <c r="VQG44" s="291"/>
      <c r="VQH44" s="292"/>
      <c r="VQI44" s="292"/>
      <c r="VQJ44" s="292"/>
      <c r="VQK44" s="291"/>
      <c r="VQL44" s="292"/>
      <c r="VQM44" s="292"/>
      <c r="VQN44" s="292"/>
      <c r="VQO44" s="291"/>
      <c r="VQP44" s="292"/>
      <c r="VQQ44" s="292"/>
      <c r="VQR44" s="292"/>
      <c r="VQS44" s="291"/>
      <c r="VQT44" s="292"/>
      <c r="VQU44" s="292"/>
      <c r="VQV44" s="292"/>
      <c r="VQW44" s="291"/>
      <c r="VQX44" s="292"/>
      <c r="VQY44" s="292"/>
      <c r="VQZ44" s="292"/>
      <c r="VRA44" s="291"/>
      <c r="VRB44" s="292"/>
      <c r="VRC44" s="292"/>
      <c r="VRD44" s="292"/>
      <c r="VRE44" s="291"/>
      <c r="VRF44" s="292"/>
      <c r="VRG44" s="292"/>
      <c r="VRH44" s="292"/>
      <c r="VRI44" s="291"/>
      <c r="VRJ44" s="292"/>
      <c r="VRK44" s="292"/>
      <c r="VRL44" s="292"/>
      <c r="VRM44" s="291"/>
      <c r="VRN44" s="292"/>
      <c r="VRO44" s="292"/>
      <c r="VRP44" s="292"/>
      <c r="VRQ44" s="291"/>
      <c r="VRR44" s="292"/>
      <c r="VRS44" s="292"/>
      <c r="VRT44" s="292"/>
      <c r="VRU44" s="291"/>
      <c r="VRV44" s="292"/>
      <c r="VRW44" s="292"/>
      <c r="VRX44" s="292"/>
      <c r="VRY44" s="291"/>
      <c r="VRZ44" s="292"/>
      <c r="VSA44" s="292"/>
      <c r="VSB44" s="292"/>
      <c r="VSC44" s="291"/>
      <c r="VSD44" s="292"/>
      <c r="VSE44" s="292"/>
      <c r="VSF44" s="292"/>
      <c r="VSG44" s="291"/>
      <c r="VSH44" s="292"/>
      <c r="VSI44" s="292"/>
      <c r="VSJ44" s="292"/>
      <c r="VSK44" s="291"/>
      <c r="VSL44" s="292"/>
      <c r="VSM44" s="292"/>
      <c r="VSN44" s="292"/>
      <c r="VSO44" s="291"/>
      <c r="VSP44" s="292"/>
      <c r="VSQ44" s="292"/>
      <c r="VSR44" s="292"/>
      <c r="VSS44" s="291"/>
      <c r="VST44" s="292"/>
      <c r="VSU44" s="292"/>
      <c r="VSV44" s="292"/>
      <c r="VSW44" s="291"/>
      <c r="VSX44" s="292"/>
      <c r="VSY44" s="292"/>
      <c r="VSZ44" s="292"/>
      <c r="VTA44" s="291"/>
      <c r="VTB44" s="292"/>
      <c r="VTC44" s="292"/>
      <c r="VTD44" s="292"/>
      <c r="VTE44" s="291"/>
      <c r="VTF44" s="292"/>
      <c r="VTG44" s="292"/>
      <c r="VTH44" s="292"/>
      <c r="VTI44" s="291"/>
      <c r="VTJ44" s="292"/>
      <c r="VTK44" s="292"/>
      <c r="VTL44" s="292"/>
      <c r="VTM44" s="291"/>
      <c r="VTN44" s="292"/>
      <c r="VTO44" s="292"/>
      <c r="VTP44" s="292"/>
      <c r="VTQ44" s="291"/>
      <c r="VTR44" s="292"/>
      <c r="VTS44" s="292"/>
      <c r="VTT44" s="292"/>
      <c r="VTU44" s="291"/>
      <c r="VTV44" s="292"/>
      <c r="VTW44" s="292"/>
      <c r="VTX44" s="292"/>
      <c r="VTY44" s="291"/>
      <c r="VTZ44" s="292"/>
      <c r="VUA44" s="292"/>
      <c r="VUB44" s="292"/>
      <c r="VUC44" s="291"/>
      <c r="VUD44" s="292"/>
      <c r="VUE44" s="292"/>
      <c r="VUF44" s="292"/>
      <c r="VUG44" s="291"/>
      <c r="VUH44" s="292"/>
      <c r="VUI44" s="292"/>
      <c r="VUJ44" s="292"/>
      <c r="VUK44" s="291"/>
      <c r="VUL44" s="292"/>
      <c r="VUM44" s="292"/>
      <c r="VUN44" s="292"/>
      <c r="VUO44" s="291"/>
      <c r="VUP44" s="292"/>
      <c r="VUQ44" s="292"/>
      <c r="VUR44" s="292"/>
      <c r="VUS44" s="291"/>
      <c r="VUT44" s="292"/>
      <c r="VUU44" s="292"/>
      <c r="VUV44" s="292"/>
      <c r="VUW44" s="291"/>
      <c r="VUX44" s="292"/>
      <c r="VUY44" s="292"/>
      <c r="VUZ44" s="292"/>
      <c r="VVA44" s="291"/>
      <c r="VVB44" s="292"/>
      <c r="VVC44" s="292"/>
      <c r="VVD44" s="292"/>
      <c r="VVE44" s="291"/>
      <c r="VVF44" s="292"/>
      <c r="VVG44" s="292"/>
      <c r="VVH44" s="292"/>
      <c r="VVI44" s="291"/>
      <c r="VVJ44" s="292"/>
      <c r="VVK44" s="292"/>
      <c r="VVL44" s="292"/>
      <c r="VVM44" s="291"/>
      <c r="VVN44" s="292"/>
      <c r="VVO44" s="292"/>
      <c r="VVP44" s="292"/>
      <c r="VVQ44" s="291"/>
      <c r="VVR44" s="292"/>
      <c r="VVS44" s="292"/>
      <c r="VVT44" s="292"/>
      <c r="VVU44" s="291"/>
      <c r="VVV44" s="292"/>
      <c r="VVW44" s="292"/>
      <c r="VVX44" s="292"/>
      <c r="VVY44" s="291"/>
      <c r="VVZ44" s="292"/>
      <c r="VWA44" s="292"/>
      <c r="VWB44" s="292"/>
      <c r="VWC44" s="291"/>
      <c r="VWD44" s="292"/>
      <c r="VWE44" s="292"/>
      <c r="VWF44" s="292"/>
      <c r="VWG44" s="291"/>
      <c r="VWH44" s="292"/>
      <c r="VWI44" s="292"/>
      <c r="VWJ44" s="292"/>
      <c r="VWK44" s="291"/>
      <c r="VWL44" s="292"/>
      <c r="VWM44" s="292"/>
      <c r="VWN44" s="292"/>
      <c r="VWO44" s="291"/>
      <c r="VWP44" s="292"/>
      <c r="VWQ44" s="292"/>
      <c r="VWR44" s="292"/>
      <c r="VWS44" s="291"/>
      <c r="VWT44" s="292"/>
      <c r="VWU44" s="292"/>
      <c r="VWV44" s="292"/>
      <c r="VWW44" s="291"/>
      <c r="VWX44" s="292"/>
      <c r="VWY44" s="292"/>
      <c r="VWZ44" s="292"/>
      <c r="VXA44" s="291"/>
      <c r="VXB44" s="292"/>
      <c r="VXC44" s="292"/>
      <c r="VXD44" s="292"/>
      <c r="VXE44" s="291"/>
      <c r="VXF44" s="292"/>
      <c r="VXG44" s="292"/>
      <c r="VXH44" s="292"/>
      <c r="VXI44" s="291"/>
      <c r="VXJ44" s="292"/>
      <c r="VXK44" s="292"/>
      <c r="VXL44" s="292"/>
      <c r="VXM44" s="291"/>
      <c r="VXN44" s="292"/>
      <c r="VXO44" s="292"/>
      <c r="VXP44" s="292"/>
      <c r="VXQ44" s="291"/>
      <c r="VXR44" s="292"/>
      <c r="VXS44" s="292"/>
      <c r="VXT44" s="292"/>
      <c r="VXU44" s="291"/>
      <c r="VXV44" s="292"/>
      <c r="VXW44" s="292"/>
      <c r="VXX44" s="292"/>
      <c r="VXY44" s="291"/>
      <c r="VXZ44" s="292"/>
      <c r="VYA44" s="292"/>
      <c r="VYB44" s="292"/>
      <c r="VYC44" s="291"/>
      <c r="VYD44" s="292"/>
      <c r="VYE44" s="292"/>
      <c r="VYF44" s="292"/>
      <c r="VYG44" s="291"/>
      <c r="VYH44" s="292"/>
      <c r="VYI44" s="292"/>
      <c r="VYJ44" s="292"/>
      <c r="VYK44" s="291"/>
      <c r="VYL44" s="292"/>
      <c r="VYM44" s="292"/>
      <c r="VYN44" s="292"/>
      <c r="VYO44" s="291"/>
      <c r="VYP44" s="292"/>
      <c r="VYQ44" s="292"/>
      <c r="VYR44" s="292"/>
      <c r="VYS44" s="291"/>
      <c r="VYT44" s="292"/>
      <c r="VYU44" s="292"/>
      <c r="VYV44" s="292"/>
      <c r="VYW44" s="291"/>
      <c r="VYX44" s="292"/>
      <c r="VYY44" s="292"/>
      <c r="VYZ44" s="292"/>
      <c r="VZA44" s="291"/>
      <c r="VZB44" s="292"/>
      <c r="VZC44" s="292"/>
      <c r="VZD44" s="292"/>
      <c r="VZE44" s="291"/>
      <c r="VZF44" s="292"/>
      <c r="VZG44" s="292"/>
      <c r="VZH44" s="292"/>
      <c r="VZI44" s="291"/>
      <c r="VZJ44" s="292"/>
      <c r="VZK44" s="292"/>
      <c r="VZL44" s="292"/>
      <c r="VZM44" s="291"/>
      <c r="VZN44" s="292"/>
      <c r="VZO44" s="292"/>
      <c r="VZP44" s="292"/>
      <c r="VZQ44" s="291"/>
      <c r="VZR44" s="292"/>
      <c r="VZS44" s="292"/>
      <c r="VZT44" s="292"/>
      <c r="VZU44" s="291"/>
      <c r="VZV44" s="292"/>
      <c r="VZW44" s="292"/>
      <c r="VZX44" s="292"/>
      <c r="VZY44" s="291"/>
      <c r="VZZ44" s="292"/>
      <c r="WAA44" s="292"/>
      <c r="WAB44" s="292"/>
      <c r="WAC44" s="291"/>
      <c r="WAD44" s="292"/>
      <c r="WAE44" s="292"/>
      <c r="WAF44" s="292"/>
      <c r="WAG44" s="291"/>
      <c r="WAH44" s="292"/>
      <c r="WAI44" s="292"/>
      <c r="WAJ44" s="292"/>
      <c r="WAK44" s="291"/>
      <c r="WAL44" s="292"/>
      <c r="WAM44" s="292"/>
      <c r="WAN44" s="292"/>
      <c r="WAO44" s="291"/>
      <c r="WAP44" s="292"/>
      <c r="WAQ44" s="292"/>
      <c r="WAR44" s="292"/>
      <c r="WAS44" s="291"/>
      <c r="WAT44" s="292"/>
      <c r="WAU44" s="292"/>
      <c r="WAV44" s="292"/>
      <c r="WAW44" s="291"/>
      <c r="WAX44" s="292"/>
      <c r="WAY44" s="292"/>
      <c r="WAZ44" s="292"/>
      <c r="WBA44" s="291"/>
      <c r="WBB44" s="292"/>
      <c r="WBC44" s="292"/>
      <c r="WBD44" s="292"/>
      <c r="WBE44" s="291"/>
      <c r="WBF44" s="292"/>
      <c r="WBG44" s="292"/>
      <c r="WBH44" s="292"/>
      <c r="WBI44" s="291"/>
      <c r="WBJ44" s="292"/>
      <c r="WBK44" s="292"/>
      <c r="WBL44" s="292"/>
      <c r="WBM44" s="291"/>
      <c r="WBN44" s="292"/>
      <c r="WBO44" s="292"/>
      <c r="WBP44" s="292"/>
      <c r="WBQ44" s="291"/>
      <c r="WBR44" s="292"/>
      <c r="WBS44" s="292"/>
      <c r="WBT44" s="292"/>
      <c r="WBU44" s="291"/>
      <c r="WBV44" s="292"/>
      <c r="WBW44" s="292"/>
      <c r="WBX44" s="292"/>
      <c r="WBY44" s="291"/>
      <c r="WBZ44" s="292"/>
      <c r="WCA44" s="292"/>
      <c r="WCB44" s="292"/>
      <c r="WCC44" s="291"/>
      <c r="WCD44" s="292"/>
      <c r="WCE44" s="292"/>
      <c r="WCF44" s="292"/>
      <c r="WCG44" s="291"/>
      <c r="WCH44" s="292"/>
      <c r="WCI44" s="292"/>
      <c r="WCJ44" s="292"/>
      <c r="WCK44" s="291"/>
      <c r="WCL44" s="292"/>
      <c r="WCM44" s="292"/>
      <c r="WCN44" s="292"/>
      <c r="WCO44" s="291"/>
      <c r="WCP44" s="292"/>
      <c r="WCQ44" s="292"/>
      <c r="WCR44" s="292"/>
      <c r="WCS44" s="291"/>
      <c r="WCT44" s="292"/>
      <c r="WCU44" s="292"/>
      <c r="WCV44" s="292"/>
      <c r="WCW44" s="291"/>
      <c r="WCX44" s="292"/>
      <c r="WCY44" s="292"/>
      <c r="WCZ44" s="292"/>
      <c r="WDA44" s="291"/>
      <c r="WDB44" s="292"/>
      <c r="WDC44" s="292"/>
      <c r="WDD44" s="292"/>
      <c r="WDE44" s="291"/>
      <c r="WDF44" s="292"/>
      <c r="WDG44" s="292"/>
      <c r="WDH44" s="292"/>
      <c r="WDI44" s="291"/>
      <c r="WDJ44" s="292"/>
      <c r="WDK44" s="292"/>
      <c r="WDL44" s="292"/>
      <c r="WDM44" s="291"/>
      <c r="WDN44" s="292"/>
      <c r="WDO44" s="292"/>
      <c r="WDP44" s="292"/>
      <c r="WDQ44" s="291"/>
      <c r="WDR44" s="292"/>
      <c r="WDS44" s="292"/>
      <c r="WDT44" s="292"/>
      <c r="WDU44" s="291"/>
      <c r="WDV44" s="292"/>
      <c r="WDW44" s="292"/>
      <c r="WDX44" s="292"/>
      <c r="WDY44" s="291"/>
      <c r="WDZ44" s="292"/>
      <c r="WEA44" s="292"/>
      <c r="WEB44" s="292"/>
      <c r="WEC44" s="291"/>
      <c r="WED44" s="292"/>
      <c r="WEE44" s="292"/>
      <c r="WEF44" s="292"/>
      <c r="WEG44" s="291"/>
      <c r="WEH44" s="292"/>
      <c r="WEI44" s="292"/>
      <c r="WEJ44" s="292"/>
      <c r="WEK44" s="291"/>
      <c r="WEL44" s="292"/>
      <c r="WEM44" s="292"/>
      <c r="WEN44" s="292"/>
      <c r="WEO44" s="291"/>
      <c r="WEP44" s="292"/>
      <c r="WEQ44" s="292"/>
      <c r="WER44" s="292"/>
      <c r="WES44" s="291"/>
      <c r="WET44" s="292"/>
      <c r="WEU44" s="292"/>
      <c r="WEV44" s="292"/>
      <c r="WEW44" s="291"/>
      <c r="WEX44" s="292"/>
      <c r="WEY44" s="292"/>
      <c r="WEZ44" s="292"/>
      <c r="WFA44" s="291"/>
      <c r="WFB44" s="292"/>
      <c r="WFC44" s="292"/>
      <c r="WFD44" s="292"/>
      <c r="WFE44" s="291"/>
      <c r="WFF44" s="292"/>
      <c r="WFG44" s="292"/>
      <c r="WFH44" s="292"/>
      <c r="WFI44" s="291"/>
      <c r="WFJ44" s="292"/>
      <c r="WFK44" s="292"/>
      <c r="WFL44" s="292"/>
      <c r="WFM44" s="291"/>
      <c r="WFN44" s="292"/>
      <c r="WFO44" s="292"/>
      <c r="WFP44" s="292"/>
      <c r="WFQ44" s="291"/>
      <c r="WFR44" s="292"/>
      <c r="WFS44" s="292"/>
      <c r="WFT44" s="292"/>
      <c r="WFU44" s="291"/>
      <c r="WFV44" s="292"/>
      <c r="WFW44" s="292"/>
      <c r="WFX44" s="292"/>
      <c r="WFY44" s="291"/>
      <c r="WFZ44" s="292"/>
      <c r="WGA44" s="292"/>
      <c r="WGB44" s="292"/>
      <c r="WGC44" s="291"/>
      <c r="WGD44" s="292"/>
      <c r="WGE44" s="292"/>
      <c r="WGF44" s="292"/>
      <c r="WGG44" s="291"/>
      <c r="WGH44" s="292"/>
      <c r="WGI44" s="292"/>
      <c r="WGJ44" s="292"/>
      <c r="WGK44" s="291"/>
      <c r="WGL44" s="292"/>
      <c r="WGM44" s="292"/>
      <c r="WGN44" s="292"/>
      <c r="WGO44" s="291"/>
      <c r="WGP44" s="292"/>
      <c r="WGQ44" s="292"/>
      <c r="WGR44" s="292"/>
      <c r="WGS44" s="291"/>
      <c r="WGT44" s="292"/>
      <c r="WGU44" s="292"/>
      <c r="WGV44" s="292"/>
      <c r="WGW44" s="291"/>
      <c r="WGX44" s="292"/>
      <c r="WGY44" s="292"/>
      <c r="WGZ44" s="292"/>
      <c r="WHA44" s="291"/>
      <c r="WHB44" s="292"/>
      <c r="WHC44" s="292"/>
      <c r="WHD44" s="292"/>
      <c r="WHE44" s="291"/>
      <c r="WHF44" s="292"/>
      <c r="WHG44" s="292"/>
      <c r="WHH44" s="292"/>
      <c r="WHI44" s="291"/>
      <c r="WHJ44" s="292"/>
      <c r="WHK44" s="292"/>
      <c r="WHL44" s="292"/>
      <c r="WHM44" s="291"/>
      <c r="WHN44" s="292"/>
      <c r="WHO44" s="292"/>
      <c r="WHP44" s="292"/>
      <c r="WHQ44" s="291"/>
      <c r="WHR44" s="292"/>
      <c r="WHS44" s="292"/>
      <c r="WHT44" s="292"/>
      <c r="WHU44" s="291"/>
      <c r="WHV44" s="292"/>
      <c r="WHW44" s="292"/>
      <c r="WHX44" s="292"/>
      <c r="WHY44" s="291"/>
      <c r="WHZ44" s="292"/>
      <c r="WIA44" s="292"/>
      <c r="WIB44" s="292"/>
      <c r="WIC44" s="291"/>
      <c r="WID44" s="292"/>
      <c r="WIE44" s="292"/>
      <c r="WIF44" s="292"/>
      <c r="WIG44" s="291"/>
      <c r="WIH44" s="292"/>
      <c r="WII44" s="292"/>
      <c r="WIJ44" s="292"/>
      <c r="WIK44" s="291"/>
      <c r="WIL44" s="292"/>
      <c r="WIM44" s="292"/>
      <c r="WIN44" s="292"/>
      <c r="WIO44" s="291"/>
      <c r="WIP44" s="292"/>
      <c r="WIQ44" s="292"/>
      <c r="WIR44" s="292"/>
      <c r="WIS44" s="291"/>
      <c r="WIT44" s="292"/>
      <c r="WIU44" s="292"/>
      <c r="WIV44" s="292"/>
      <c r="WIW44" s="291"/>
      <c r="WIX44" s="292"/>
      <c r="WIY44" s="292"/>
      <c r="WIZ44" s="292"/>
      <c r="WJA44" s="291"/>
      <c r="WJB44" s="292"/>
      <c r="WJC44" s="292"/>
      <c r="WJD44" s="292"/>
      <c r="WJE44" s="291"/>
      <c r="WJF44" s="292"/>
      <c r="WJG44" s="292"/>
      <c r="WJH44" s="292"/>
      <c r="WJI44" s="291"/>
      <c r="WJJ44" s="292"/>
      <c r="WJK44" s="292"/>
      <c r="WJL44" s="292"/>
      <c r="WJM44" s="291"/>
      <c r="WJN44" s="292"/>
      <c r="WJO44" s="292"/>
      <c r="WJP44" s="292"/>
      <c r="WJQ44" s="291"/>
      <c r="WJR44" s="292"/>
      <c r="WJS44" s="292"/>
      <c r="WJT44" s="292"/>
      <c r="WJU44" s="291"/>
      <c r="WJV44" s="292"/>
      <c r="WJW44" s="292"/>
      <c r="WJX44" s="292"/>
      <c r="WJY44" s="291"/>
      <c r="WJZ44" s="292"/>
      <c r="WKA44" s="292"/>
      <c r="WKB44" s="292"/>
      <c r="WKC44" s="291"/>
      <c r="WKD44" s="292"/>
      <c r="WKE44" s="292"/>
      <c r="WKF44" s="292"/>
      <c r="WKG44" s="291"/>
      <c r="WKH44" s="292"/>
      <c r="WKI44" s="292"/>
      <c r="WKJ44" s="292"/>
      <c r="WKK44" s="291"/>
      <c r="WKL44" s="292"/>
      <c r="WKM44" s="292"/>
      <c r="WKN44" s="292"/>
      <c r="WKO44" s="291"/>
      <c r="WKP44" s="292"/>
      <c r="WKQ44" s="292"/>
      <c r="WKR44" s="292"/>
      <c r="WKS44" s="291"/>
      <c r="WKT44" s="292"/>
      <c r="WKU44" s="292"/>
      <c r="WKV44" s="292"/>
      <c r="WKW44" s="291"/>
      <c r="WKX44" s="292"/>
      <c r="WKY44" s="292"/>
      <c r="WKZ44" s="292"/>
      <c r="WLA44" s="291"/>
      <c r="WLB44" s="292"/>
      <c r="WLC44" s="292"/>
      <c r="WLD44" s="292"/>
      <c r="WLE44" s="291"/>
      <c r="WLF44" s="292"/>
      <c r="WLG44" s="292"/>
      <c r="WLH44" s="292"/>
      <c r="WLI44" s="291"/>
      <c r="WLJ44" s="292"/>
      <c r="WLK44" s="292"/>
      <c r="WLL44" s="292"/>
      <c r="WLM44" s="291"/>
      <c r="WLN44" s="292"/>
      <c r="WLO44" s="292"/>
      <c r="WLP44" s="292"/>
      <c r="WLQ44" s="291"/>
      <c r="WLR44" s="292"/>
      <c r="WLS44" s="292"/>
      <c r="WLT44" s="292"/>
      <c r="WLU44" s="291"/>
      <c r="WLV44" s="292"/>
      <c r="WLW44" s="292"/>
      <c r="WLX44" s="292"/>
      <c r="WLY44" s="291"/>
      <c r="WLZ44" s="292"/>
      <c r="WMA44" s="292"/>
      <c r="WMB44" s="292"/>
      <c r="WMC44" s="291"/>
      <c r="WMD44" s="292"/>
      <c r="WME44" s="292"/>
      <c r="WMF44" s="292"/>
      <c r="WMG44" s="291"/>
      <c r="WMH44" s="292"/>
      <c r="WMI44" s="292"/>
      <c r="WMJ44" s="292"/>
      <c r="WMK44" s="291"/>
      <c r="WML44" s="292"/>
      <c r="WMM44" s="292"/>
      <c r="WMN44" s="292"/>
      <c r="WMO44" s="291"/>
      <c r="WMP44" s="292"/>
      <c r="WMQ44" s="292"/>
      <c r="WMR44" s="292"/>
      <c r="WMS44" s="291"/>
      <c r="WMT44" s="292"/>
      <c r="WMU44" s="292"/>
      <c r="WMV44" s="292"/>
      <c r="WMW44" s="291"/>
      <c r="WMX44" s="292"/>
      <c r="WMY44" s="292"/>
      <c r="WMZ44" s="292"/>
      <c r="WNA44" s="291"/>
      <c r="WNB44" s="292"/>
      <c r="WNC44" s="292"/>
      <c r="WND44" s="292"/>
      <c r="WNE44" s="291"/>
      <c r="WNF44" s="292"/>
      <c r="WNG44" s="292"/>
      <c r="WNH44" s="292"/>
      <c r="WNI44" s="291"/>
      <c r="WNJ44" s="292"/>
      <c r="WNK44" s="292"/>
      <c r="WNL44" s="292"/>
      <c r="WNM44" s="291"/>
      <c r="WNN44" s="292"/>
      <c r="WNO44" s="292"/>
      <c r="WNP44" s="292"/>
      <c r="WNQ44" s="291"/>
      <c r="WNR44" s="292"/>
      <c r="WNS44" s="292"/>
      <c r="WNT44" s="292"/>
      <c r="WNU44" s="291"/>
      <c r="WNV44" s="292"/>
      <c r="WNW44" s="292"/>
      <c r="WNX44" s="292"/>
      <c r="WNY44" s="291"/>
      <c r="WNZ44" s="292"/>
      <c r="WOA44" s="292"/>
      <c r="WOB44" s="292"/>
      <c r="WOC44" s="291"/>
      <c r="WOD44" s="292"/>
      <c r="WOE44" s="292"/>
      <c r="WOF44" s="292"/>
      <c r="WOG44" s="291"/>
      <c r="WOH44" s="292"/>
      <c r="WOI44" s="292"/>
      <c r="WOJ44" s="292"/>
      <c r="WOK44" s="291"/>
      <c r="WOL44" s="292"/>
      <c r="WOM44" s="292"/>
      <c r="WON44" s="292"/>
      <c r="WOO44" s="291"/>
      <c r="WOP44" s="292"/>
      <c r="WOQ44" s="292"/>
      <c r="WOR44" s="292"/>
      <c r="WOS44" s="291"/>
      <c r="WOT44" s="292"/>
      <c r="WOU44" s="292"/>
      <c r="WOV44" s="292"/>
      <c r="WOW44" s="291"/>
      <c r="WOX44" s="292"/>
      <c r="WOY44" s="292"/>
      <c r="WOZ44" s="292"/>
      <c r="WPA44" s="291"/>
      <c r="WPB44" s="292"/>
      <c r="WPC44" s="292"/>
      <c r="WPD44" s="292"/>
      <c r="WPE44" s="291"/>
      <c r="WPF44" s="292"/>
      <c r="WPG44" s="292"/>
      <c r="WPH44" s="292"/>
      <c r="WPI44" s="291"/>
      <c r="WPJ44" s="292"/>
      <c r="WPK44" s="292"/>
      <c r="WPL44" s="292"/>
      <c r="WPM44" s="291"/>
      <c r="WPN44" s="292"/>
      <c r="WPO44" s="292"/>
      <c r="WPP44" s="292"/>
      <c r="WPQ44" s="291"/>
      <c r="WPR44" s="292"/>
      <c r="WPS44" s="292"/>
      <c r="WPT44" s="292"/>
      <c r="WPU44" s="291"/>
      <c r="WPV44" s="292"/>
      <c r="WPW44" s="292"/>
      <c r="WPX44" s="292"/>
      <c r="WPY44" s="291"/>
      <c r="WPZ44" s="292"/>
      <c r="WQA44" s="292"/>
      <c r="WQB44" s="292"/>
      <c r="WQC44" s="291"/>
      <c r="WQD44" s="292"/>
      <c r="WQE44" s="292"/>
      <c r="WQF44" s="292"/>
      <c r="WQG44" s="291"/>
      <c r="WQH44" s="292"/>
      <c r="WQI44" s="292"/>
      <c r="WQJ44" s="292"/>
      <c r="WQK44" s="291"/>
      <c r="WQL44" s="292"/>
      <c r="WQM44" s="292"/>
      <c r="WQN44" s="292"/>
      <c r="WQO44" s="291"/>
      <c r="WQP44" s="292"/>
      <c r="WQQ44" s="292"/>
      <c r="WQR44" s="292"/>
      <c r="WQS44" s="291"/>
      <c r="WQT44" s="292"/>
      <c r="WQU44" s="292"/>
      <c r="WQV44" s="292"/>
      <c r="WQW44" s="291"/>
      <c r="WQX44" s="292"/>
      <c r="WQY44" s="292"/>
      <c r="WQZ44" s="292"/>
      <c r="WRA44" s="291"/>
      <c r="WRB44" s="292"/>
      <c r="WRC44" s="292"/>
      <c r="WRD44" s="292"/>
      <c r="WRE44" s="291"/>
      <c r="WRF44" s="292"/>
      <c r="WRG44" s="292"/>
      <c r="WRH44" s="292"/>
      <c r="WRI44" s="291"/>
      <c r="WRJ44" s="292"/>
      <c r="WRK44" s="292"/>
      <c r="WRL44" s="292"/>
      <c r="WRM44" s="291"/>
      <c r="WRN44" s="292"/>
      <c r="WRO44" s="292"/>
      <c r="WRP44" s="292"/>
      <c r="WRQ44" s="291"/>
      <c r="WRR44" s="292"/>
      <c r="WRS44" s="292"/>
      <c r="WRT44" s="292"/>
      <c r="WRU44" s="291"/>
      <c r="WRV44" s="292"/>
      <c r="WRW44" s="292"/>
      <c r="WRX44" s="292"/>
      <c r="WRY44" s="291"/>
      <c r="WRZ44" s="292"/>
      <c r="WSA44" s="292"/>
      <c r="WSB44" s="292"/>
      <c r="WSC44" s="291"/>
      <c r="WSD44" s="292"/>
      <c r="WSE44" s="292"/>
      <c r="WSF44" s="292"/>
      <c r="WSG44" s="291"/>
      <c r="WSH44" s="292"/>
      <c r="WSI44" s="292"/>
      <c r="WSJ44" s="292"/>
      <c r="WSK44" s="291"/>
      <c r="WSL44" s="292"/>
      <c r="WSM44" s="292"/>
      <c r="WSN44" s="292"/>
      <c r="WSO44" s="291"/>
      <c r="WSP44" s="292"/>
      <c r="WSQ44" s="292"/>
      <c r="WSR44" s="292"/>
      <c r="WSS44" s="291"/>
      <c r="WST44" s="292"/>
      <c r="WSU44" s="292"/>
      <c r="WSV44" s="292"/>
      <c r="WSW44" s="291"/>
      <c r="WSX44" s="292"/>
      <c r="WSY44" s="292"/>
      <c r="WSZ44" s="292"/>
      <c r="WTA44" s="291"/>
      <c r="WTB44" s="292"/>
      <c r="WTC44" s="292"/>
      <c r="WTD44" s="292"/>
      <c r="WTE44" s="291"/>
      <c r="WTF44" s="292"/>
      <c r="WTG44" s="292"/>
      <c r="WTH44" s="292"/>
      <c r="WTI44" s="291"/>
      <c r="WTJ44" s="292"/>
      <c r="WTK44" s="292"/>
      <c r="WTL44" s="292"/>
      <c r="WTM44" s="291"/>
      <c r="WTN44" s="292"/>
      <c r="WTO44" s="292"/>
      <c r="WTP44" s="292"/>
      <c r="WTQ44" s="291"/>
      <c r="WTR44" s="292"/>
      <c r="WTS44" s="292"/>
      <c r="WTT44" s="292"/>
      <c r="WTU44" s="291"/>
      <c r="WTV44" s="292"/>
      <c r="WTW44" s="292"/>
      <c r="WTX44" s="292"/>
      <c r="WTY44" s="291"/>
      <c r="WTZ44" s="292"/>
      <c r="WUA44" s="292"/>
      <c r="WUB44" s="292"/>
      <c r="WUC44" s="291"/>
      <c r="WUD44" s="292"/>
      <c r="WUE44" s="292"/>
      <c r="WUF44" s="292"/>
      <c r="WUG44" s="291"/>
      <c r="WUH44" s="292"/>
      <c r="WUI44" s="292"/>
      <c r="WUJ44" s="292"/>
      <c r="WUK44" s="291"/>
      <c r="WUL44" s="292"/>
      <c r="WUM44" s="292"/>
      <c r="WUN44" s="292"/>
      <c r="WUO44" s="291"/>
      <c r="WUP44" s="292"/>
      <c r="WUQ44" s="292"/>
      <c r="WUR44" s="292"/>
      <c r="WUS44" s="291"/>
      <c r="WUT44" s="292"/>
      <c r="WUU44" s="292"/>
      <c r="WUV44" s="292"/>
      <c r="WUW44" s="291"/>
      <c r="WUX44" s="292"/>
      <c r="WUY44" s="292"/>
      <c r="WUZ44" s="292"/>
      <c r="WVA44" s="291"/>
      <c r="WVB44" s="292"/>
      <c r="WVC44" s="292"/>
      <c r="WVD44" s="292"/>
      <c r="WVE44" s="291"/>
      <c r="WVF44" s="292"/>
      <c r="WVG44" s="292"/>
      <c r="WVH44" s="292"/>
      <c r="WVI44" s="291"/>
      <c r="WVJ44" s="292"/>
      <c r="WVK44" s="292"/>
      <c r="WVL44" s="292"/>
      <c r="WVM44" s="291"/>
      <c r="WVN44" s="292"/>
      <c r="WVO44" s="292"/>
      <c r="WVP44" s="292"/>
      <c r="WVQ44" s="291"/>
      <c r="WVR44" s="292"/>
      <c r="WVS44" s="292"/>
      <c r="WVT44" s="292"/>
      <c r="WVU44" s="291"/>
      <c r="WVV44" s="292"/>
      <c r="WVW44" s="292"/>
      <c r="WVX44" s="292"/>
      <c r="WVY44" s="291"/>
      <c r="WVZ44" s="292"/>
      <c r="WWA44" s="292"/>
      <c r="WWB44" s="292"/>
      <c r="WWC44" s="291"/>
      <c r="WWD44" s="292"/>
      <c r="WWE44" s="292"/>
      <c r="WWF44" s="292"/>
      <c r="WWG44" s="291"/>
      <c r="WWH44" s="292"/>
      <c r="WWI44" s="292"/>
      <c r="WWJ44" s="292"/>
      <c r="WWK44" s="291"/>
      <c r="WWL44" s="292"/>
      <c r="WWM44" s="292"/>
      <c r="WWN44" s="292"/>
      <c r="WWO44" s="291"/>
      <c r="WWP44" s="292"/>
      <c r="WWQ44" s="292"/>
      <c r="WWR44" s="292"/>
      <c r="WWS44" s="291"/>
      <c r="WWT44" s="292"/>
      <c r="WWU44" s="292"/>
      <c r="WWV44" s="292"/>
      <c r="WWW44" s="291"/>
      <c r="WWX44" s="292"/>
      <c r="WWY44" s="292"/>
      <c r="WWZ44" s="292"/>
      <c r="WXA44" s="291"/>
      <c r="WXB44" s="292"/>
      <c r="WXC44" s="292"/>
      <c r="WXD44" s="292"/>
      <c r="WXE44" s="291"/>
      <c r="WXF44" s="292"/>
      <c r="WXG44" s="292"/>
      <c r="WXH44" s="292"/>
      <c r="WXI44" s="291"/>
      <c r="WXJ44" s="292"/>
      <c r="WXK44" s="292"/>
      <c r="WXL44" s="292"/>
      <c r="WXM44" s="291"/>
      <c r="WXN44" s="292"/>
      <c r="WXO44" s="292"/>
      <c r="WXP44" s="292"/>
      <c r="WXQ44" s="291"/>
      <c r="WXR44" s="292"/>
      <c r="WXS44" s="292"/>
      <c r="WXT44" s="292"/>
      <c r="WXU44" s="291"/>
      <c r="WXV44" s="292"/>
      <c r="WXW44" s="292"/>
      <c r="WXX44" s="292"/>
      <c r="WXY44" s="291"/>
      <c r="WXZ44" s="292"/>
      <c r="WYA44" s="292"/>
      <c r="WYB44" s="292"/>
      <c r="WYC44" s="291"/>
      <c r="WYD44" s="292"/>
      <c r="WYE44" s="292"/>
      <c r="WYF44" s="292"/>
      <c r="WYG44" s="291"/>
      <c r="WYH44" s="292"/>
      <c r="WYI44" s="292"/>
      <c r="WYJ44" s="292"/>
      <c r="WYK44" s="291"/>
      <c r="WYL44" s="292"/>
      <c r="WYM44" s="292"/>
      <c r="WYN44" s="292"/>
      <c r="WYO44" s="291"/>
      <c r="WYP44" s="292"/>
      <c r="WYQ44" s="292"/>
      <c r="WYR44" s="292"/>
      <c r="WYS44" s="291"/>
      <c r="WYT44" s="292"/>
      <c r="WYU44" s="292"/>
      <c r="WYV44" s="292"/>
      <c r="WYW44" s="291"/>
      <c r="WYX44" s="292"/>
      <c r="WYY44" s="292"/>
      <c r="WYZ44" s="292"/>
      <c r="WZA44" s="291"/>
      <c r="WZB44" s="292"/>
      <c r="WZC44" s="292"/>
      <c r="WZD44" s="292"/>
      <c r="WZE44" s="291"/>
      <c r="WZF44" s="292"/>
      <c r="WZG44" s="292"/>
      <c r="WZH44" s="292"/>
      <c r="WZI44" s="291"/>
      <c r="WZJ44" s="292"/>
      <c r="WZK44" s="292"/>
      <c r="WZL44" s="292"/>
      <c r="WZM44" s="291"/>
      <c r="WZN44" s="292"/>
      <c r="WZO44" s="292"/>
      <c r="WZP44" s="292"/>
      <c r="WZQ44" s="291"/>
      <c r="WZR44" s="292"/>
      <c r="WZS44" s="292"/>
      <c r="WZT44" s="292"/>
      <c r="WZU44" s="291"/>
      <c r="WZV44" s="292"/>
      <c r="WZW44" s="292"/>
      <c r="WZX44" s="292"/>
      <c r="WZY44" s="291"/>
      <c r="WZZ44" s="292"/>
      <c r="XAA44" s="292"/>
      <c r="XAB44" s="292"/>
      <c r="XAC44" s="291"/>
      <c r="XAD44" s="292"/>
      <c r="XAE44" s="292"/>
      <c r="XAF44" s="292"/>
      <c r="XAG44" s="291"/>
      <c r="XAH44" s="292"/>
      <c r="XAI44" s="292"/>
      <c r="XAJ44" s="292"/>
      <c r="XAK44" s="291"/>
      <c r="XAL44" s="292"/>
      <c r="XAM44" s="292"/>
      <c r="XAN44" s="292"/>
      <c r="XAO44" s="291"/>
      <c r="XAP44" s="292"/>
      <c r="XAQ44" s="292"/>
      <c r="XAR44" s="292"/>
      <c r="XAS44" s="291"/>
      <c r="XAT44" s="292"/>
      <c r="XAU44" s="292"/>
      <c r="XAV44" s="292"/>
      <c r="XAW44" s="291"/>
      <c r="XAX44" s="292"/>
      <c r="XAY44" s="292"/>
      <c r="XAZ44" s="292"/>
      <c r="XBA44" s="291"/>
      <c r="XBB44" s="292"/>
      <c r="XBC44" s="292"/>
      <c r="XBD44" s="292"/>
      <c r="XBE44" s="291"/>
      <c r="XBF44" s="292"/>
      <c r="XBG44" s="292"/>
      <c r="XBH44" s="292"/>
      <c r="XBI44" s="291"/>
      <c r="XBJ44" s="292"/>
      <c r="XBK44" s="292"/>
      <c r="XBL44" s="292"/>
      <c r="XBM44" s="291"/>
      <c r="XBN44" s="292"/>
      <c r="XBO44" s="292"/>
      <c r="XBP44" s="292"/>
      <c r="XBQ44" s="291"/>
      <c r="XBR44" s="292"/>
      <c r="XBS44" s="292"/>
      <c r="XBT44" s="292"/>
      <c r="XBU44" s="291"/>
      <c r="XBV44" s="292"/>
      <c r="XBW44" s="292"/>
      <c r="XBX44" s="292"/>
      <c r="XBY44" s="291"/>
      <c r="XBZ44" s="292"/>
      <c r="XCA44" s="292"/>
      <c r="XCB44" s="292"/>
      <c r="XCC44" s="291"/>
      <c r="XCD44" s="292"/>
      <c r="XCE44" s="292"/>
      <c r="XCF44" s="292"/>
      <c r="XCG44" s="291"/>
      <c r="XCH44" s="292"/>
      <c r="XCI44" s="292"/>
      <c r="XCJ44" s="292"/>
      <c r="XCK44" s="291"/>
      <c r="XCL44" s="292"/>
      <c r="XCM44" s="292"/>
      <c r="XCN44" s="292"/>
      <c r="XCO44" s="291"/>
      <c r="XCP44" s="292"/>
      <c r="XCQ44" s="292"/>
      <c r="XCR44" s="292"/>
      <c r="XCS44" s="291"/>
      <c r="XCT44" s="292"/>
      <c r="XCU44" s="292"/>
      <c r="XCV44" s="292"/>
      <c r="XCW44" s="291"/>
      <c r="XCX44" s="292"/>
      <c r="XCY44" s="292"/>
      <c r="XCZ44" s="292"/>
      <c r="XDA44" s="291"/>
      <c r="XDB44" s="292"/>
      <c r="XDC44" s="292"/>
      <c r="XDD44" s="292"/>
      <c r="XDE44" s="291"/>
      <c r="XDF44" s="292"/>
      <c r="XDG44" s="292"/>
      <c r="XDH44" s="292"/>
      <c r="XDI44" s="291"/>
      <c r="XDJ44" s="292"/>
      <c r="XDK44" s="292"/>
      <c r="XDL44" s="292"/>
      <c r="XDM44" s="291"/>
      <c r="XDN44" s="292"/>
      <c r="XDO44" s="292"/>
      <c r="XDP44" s="292"/>
      <c r="XDQ44" s="291"/>
      <c r="XDR44" s="292"/>
      <c r="XDS44" s="292"/>
      <c r="XDT44" s="292"/>
      <c r="XDU44" s="291"/>
      <c r="XDV44" s="292"/>
      <c r="XDW44" s="292"/>
      <c r="XDX44" s="292"/>
      <c r="XDY44" s="291"/>
      <c r="XDZ44" s="292"/>
      <c r="XEA44" s="292"/>
      <c r="XEB44" s="292"/>
      <c r="XEC44" s="291"/>
      <c r="XED44" s="292"/>
      <c r="XEE44" s="292"/>
      <c r="XEF44" s="292"/>
      <c r="XEG44" s="291"/>
      <c r="XEH44" s="292"/>
      <c r="XEI44" s="292"/>
      <c r="XEJ44" s="292"/>
      <c r="XEK44" s="291"/>
      <c r="XEL44" s="292"/>
      <c r="XEM44" s="292"/>
      <c r="XEN44" s="292"/>
      <c r="XEO44" s="291"/>
      <c r="XEP44" s="292"/>
      <c r="XEQ44" s="292"/>
      <c r="XER44" s="292"/>
      <c r="XES44" s="291"/>
      <c r="XET44" s="292"/>
      <c r="XEU44" s="292"/>
      <c r="XEV44" s="292"/>
      <c r="XEW44" s="291"/>
      <c r="XEX44" s="292"/>
      <c r="XEY44" s="292"/>
      <c r="XEZ44" s="292"/>
      <c r="XFA44" s="291"/>
      <c r="XFB44" s="292"/>
      <c r="XFC44" s="292"/>
      <c r="XFD44" s="292"/>
    </row>
    <row r="45" spans="1:16384" s="8" customFormat="1" ht="24.95" customHeight="1">
      <c r="A45" s="291"/>
      <c r="B45" s="292"/>
      <c r="C45" s="1685" t="s">
        <v>776</v>
      </c>
      <c r="D45" s="1685"/>
      <c r="E45" s="168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 s="291"/>
      <c r="AP45" s="292"/>
      <c r="AQ45" s="292"/>
      <c r="AR45" s="292"/>
      <c r="AS45" s="291"/>
      <c r="AT45" s="292"/>
      <c r="AU45" s="292"/>
      <c r="AV45" s="292"/>
      <c r="AW45" s="291"/>
      <c r="AX45" s="292"/>
      <c r="AY45" s="292"/>
      <c r="AZ45" s="292"/>
      <c r="BA45" s="291"/>
      <c r="BB45" s="292"/>
      <c r="BC45" s="292"/>
      <c r="BD45" s="292"/>
      <c r="BE45" s="291"/>
      <c r="BF45" s="292"/>
      <c r="BG45" s="292"/>
      <c r="BH45" s="292"/>
      <c r="BI45" s="291"/>
      <c r="BJ45" s="292"/>
      <c r="BK45" s="292"/>
      <c r="BL45" s="292"/>
      <c r="BM45" s="291"/>
      <c r="BN45" s="292"/>
      <c r="BO45" s="292"/>
      <c r="BP45" s="292"/>
      <c r="BQ45" s="291"/>
      <c r="BR45" s="292"/>
      <c r="BS45" s="292"/>
      <c r="BT45" s="292"/>
      <c r="BU45" s="291"/>
      <c r="BV45" s="292"/>
      <c r="BW45" s="292"/>
      <c r="BX45" s="292"/>
      <c r="BY45" s="291"/>
      <c r="BZ45" s="292"/>
      <c r="CA45" s="292"/>
      <c r="CB45" s="292"/>
      <c r="CC45" s="291"/>
      <c r="CD45" s="292"/>
      <c r="CE45" s="292"/>
      <c r="CF45" s="292"/>
      <c r="CG45" s="291"/>
      <c r="CH45" s="292"/>
      <c r="CI45" s="292"/>
      <c r="CJ45" s="292"/>
      <c r="CK45" s="291"/>
      <c r="CL45" s="292"/>
      <c r="CM45" s="292"/>
      <c r="CN45" s="292"/>
      <c r="CO45" s="291"/>
      <c r="CP45" s="292"/>
      <c r="CQ45" s="292"/>
      <c r="CR45" s="292"/>
      <c r="CS45" s="291"/>
      <c r="CT45" s="292"/>
      <c r="CU45" s="292"/>
      <c r="CV45" s="292"/>
      <c r="CW45" s="291"/>
      <c r="CX45" s="292"/>
      <c r="CY45" s="292"/>
      <c r="CZ45" s="292"/>
      <c r="DA45" s="291"/>
      <c r="DB45" s="292"/>
      <c r="DC45" s="292"/>
      <c r="DD45" s="292"/>
      <c r="DE45" s="291"/>
      <c r="DF45" s="292"/>
      <c r="DG45" s="292"/>
      <c r="DH45" s="292"/>
      <c r="DI45" s="291"/>
      <c r="DJ45" s="292"/>
      <c r="DK45" s="292"/>
      <c r="DL45" s="292"/>
      <c r="DM45" s="291"/>
      <c r="DN45" s="292"/>
      <c r="DO45" s="292"/>
      <c r="DP45" s="292"/>
      <c r="DQ45" s="291"/>
      <c r="DR45" s="292"/>
      <c r="DS45" s="292"/>
      <c r="DT45" s="292"/>
      <c r="DU45" s="291"/>
      <c r="DV45" s="292"/>
      <c r="DW45" s="292"/>
      <c r="DX45" s="292"/>
      <c r="DY45" s="291"/>
      <c r="DZ45" s="292"/>
      <c r="EA45" s="292"/>
      <c r="EB45" s="292"/>
      <c r="EC45" s="291"/>
      <c r="ED45" s="292"/>
      <c r="EE45" s="292"/>
      <c r="EF45" s="292"/>
      <c r="EG45" s="291"/>
      <c r="EH45" s="292"/>
      <c r="EI45" s="292"/>
      <c r="EJ45" s="292"/>
      <c r="EK45" s="291"/>
      <c r="EL45" s="292"/>
      <c r="EM45" s="292"/>
      <c r="EN45" s="292"/>
      <c r="EO45" s="291"/>
      <c r="EP45" s="292"/>
      <c r="EQ45" s="292"/>
      <c r="ER45" s="292"/>
      <c r="ES45" s="291"/>
      <c r="ET45" s="292"/>
      <c r="EU45" s="292"/>
      <c r="EV45" s="292"/>
      <c r="EW45" s="291"/>
      <c r="EX45" s="292"/>
      <c r="EY45" s="292"/>
      <c r="EZ45" s="292"/>
      <c r="FA45" s="291"/>
      <c r="FB45" s="292"/>
      <c r="FC45" s="292"/>
      <c r="FD45" s="292"/>
      <c r="FE45" s="291"/>
      <c r="FF45" s="292"/>
      <c r="FG45" s="292"/>
      <c r="FH45" s="292"/>
      <c r="FI45" s="291"/>
      <c r="FJ45" s="292"/>
      <c r="FK45" s="292"/>
      <c r="FL45" s="292"/>
      <c r="FM45" s="291"/>
      <c r="FN45" s="292"/>
      <c r="FO45" s="292"/>
      <c r="FP45" s="292"/>
      <c r="FQ45" s="291"/>
      <c r="FR45" s="292"/>
      <c r="FS45" s="292"/>
      <c r="FT45" s="292"/>
      <c r="FU45" s="291"/>
      <c r="FV45" s="292"/>
      <c r="FW45" s="292"/>
      <c r="FX45" s="292"/>
      <c r="FY45" s="291"/>
      <c r="FZ45" s="292"/>
      <c r="GA45" s="292"/>
      <c r="GB45" s="292"/>
      <c r="GC45" s="291"/>
      <c r="GD45" s="292"/>
      <c r="GE45" s="292"/>
      <c r="GF45" s="292"/>
      <c r="GG45" s="291"/>
      <c r="GH45" s="292"/>
      <c r="GI45" s="292"/>
      <c r="GJ45" s="292"/>
      <c r="GK45" s="291"/>
      <c r="GL45" s="292"/>
      <c r="GM45" s="292"/>
      <c r="GN45" s="292"/>
      <c r="GO45" s="291"/>
      <c r="GP45" s="292"/>
      <c r="GQ45" s="292"/>
      <c r="GR45" s="292"/>
      <c r="GS45" s="291"/>
      <c r="GT45" s="292"/>
      <c r="GU45" s="292"/>
      <c r="GV45" s="292"/>
      <c r="GW45" s="291"/>
      <c r="GX45" s="292"/>
      <c r="GY45" s="292"/>
      <c r="GZ45" s="292"/>
      <c r="HA45" s="291"/>
      <c r="HB45" s="292"/>
      <c r="HC45" s="292"/>
      <c r="HD45" s="292"/>
      <c r="HE45" s="291"/>
      <c r="HF45" s="292"/>
      <c r="HG45" s="292"/>
      <c r="HH45" s="292"/>
      <c r="HI45" s="291"/>
      <c r="HJ45" s="292"/>
      <c r="HK45" s="292"/>
      <c r="HL45" s="292"/>
      <c r="HM45" s="291"/>
      <c r="HN45" s="292"/>
      <c r="HO45" s="292"/>
      <c r="HP45" s="292"/>
      <c r="HQ45" s="291"/>
      <c r="HR45" s="292"/>
      <c r="HS45" s="292"/>
      <c r="HT45" s="292"/>
      <c r="HU45" s="291"/>
      <c r="HV45" s="292"/>
      <c r="HW45" s="292"/>
      <c r="HX45" s="292"/>
      <c r="HY45" s="291"/>
      <c r="HZ45" s="292"/>
      <c r="IA45" s="292"/>
      <c r="IB45" s="292"/>
      <c r="IC45" s="291"/>
      <c r="ID45" s="292"/>
      <c r="IE45" s="292"/>
      <c r="IF45" s="292"/>
      <c r="IG45" s="291"/>
      <c r="IH45" s="292"/>
      <c r="II45" s="292"/>
      <c r="IJ45" s="292"/>
      <c r="IK45" s="291"/>
      <c r="IL45" s="292"/>
      <c r="IM45" s="292"/>
      <c r="IN45" s="292"/>
      <c r="IO45" s="291"/>
      <c r="IP45" s="292"/>
      <c r="IQ45" s="292"/>
      <c r="IR45" s="292"/>
      <c r="IS45" s="291"/>
      <c r="IT45" s="292"/>
      <c r="IU45" s="292"/>
      <c r="IV45" s="292"/>
      <c r="IW45" s="291"/>
      <c r="IX45" s="292"/>
      <c r="IY45" s="292"/>
      <c r="IZ45" s="292"/>
      <c r="JA45" s="291"/>
      <c r="JB45" s="292"/>
      <c r="JC45" s="292"/>
      <c r="JD45" s="292"/>
      <c r="JE45" s="291"/>
      <c r="JF45" s="292"/>
      <c r="JG45" s="292"/>
      <c r="JH45" s="292"/>
      <c r="JI45" s="291"/>
      <c r="JJ45" s="292"/>
      <c r="JK45" s="292"/>
      <c r="JL45" s="292"/>
      <c r="JM45" s="291"/>
      <c r="JN45" s="292"/>
      <c r="JO45" s="292"/>
      <c r="JP45" s="292"/>
      <c r="JQ45" s="291"/>
      <c r="JR45" s="292"/>
      <c r="JS45" s="292"/>
      <c r="JT45" s="292"/>
      <c r="JU45" s="291"/>
      <c r="JV45" s="292"/>
      <c r="JW45" s="292"/>
      <c r="JX45" s="292"/>
      <c r="JY45" s="291"/>
      <c r="JZ45" s="292"/>
      <c r="KA45" s="292"/>
      <c r="KB45" s="292"/>
      <c r="KC45" s="291"/>
      <c r="KD45" s="292"/>
      <c r="KE45" s="292"/>
      <c r="KF45" s="292"/>
      <c r="KG45" s="291"/>
      <c r="KH45" s="292"/>
      <c r="KI45" s="292"/>
      <c r="KJ45" s="292"/>
      <c r="KK45" s="291"/>
      <c r="KL45" s="292"/>
      <c r="KM45" s="292"/>
      <c r="KN45" s="292"/>
      <c r="KO45" s="291"/>
      <c r="KP45" s="292"/>
      <c r="KQ45" s="292"/>
      <c r="KR45" s="292"/>
      <c r="KS45" s="291"/>
      <c r="KT45" s="292"/>
      <c r="KU45" s="292"/>
      <c r="KV45" s="292"/>
      <c r="KW45" s="291"/>
      <c r="KX45" s="292"/>
      <c r="KY45" s="292"/>
      <c r="KZ45" s="292"/>
      <c r="LA45" s="291"/>
      <c r="LB45" s="292"/>
      <c r="LC45" s="292"/>
      <c r="LD45" s="292"/>
      <c r="LE45" s="291"/>
      <c r="LF45" s="292"/>
      <c r="LG45" s="292"/>
      <c r="LH45" s="292"/>
      <c r="LI45" s="291"/>
      <c r="LJ45" s="292"/>
      <c r="LK45" s="292"/>
      <c r="LL45" s="292"/>
      <c r="LM45" s="291"/>
      <c r="LN45" s="292"/>
      <c r="LO45" s="292"/>
      <c r="LP45" s="292"/>
      <c r="LQ45" s="291"/>
      <c r="LR45" s="292"/>
      <c r="LS45" s="292"/>
      <c r="LT45" s="292"/>
      <c r="LU45" s="291"/>
      <c r="LV45" s="292"/>
      <c r="LW45" s="292"/>
      <c r="LX45" s="292"/>
      <c r="LY45" s="291"/>
      <c r="LZ45" s="292"/>
      <c r="MA45" s="292"/>
      <c r="MB45" s="292"/>
      <c r="MC45" s="291"/>
      <c r="MD45" s="292"/>
      <c r="ME45" s="292"/>
      <c r="MF45" s="292"/>
      <c r="MG45" s="291"/>
      <c r="MH45" s="292"/>
      <c r="MI45" s="292"/>
      <c r="MJ45" s="292"/>
      <c r="MK45" s="291"/>
      <c r="ML45" s="292"/>
      <c r="MM45" s="292"/>
      <c r="MN45" s="292"/>
      <c r="MO45" s="291"/>
      <c r="MP45" s="292"/>
      <c r="MQ45" s="292"/>
      <c r="MR45" s="292"/>
      <c r="MS45" s="291"/>
      <c r="MT45" s="292"/>
      <c r="MU45" s="292"/>
      <c r="MV45" s="292"/>
      <c r="MW45" s="291"/>
      <c r="MX45" s="292"/>
      <c r="MY45" s="292"/>
      <c r="MZ45" s="292"/>
      <c r="NA45" s="291"/>
      <c r="NB45" s="292"/>
      <c r="NC45" s="292"/>
      <c r="ND45" s="292"/>
      <c r="NE45" s="291"/>
      <c r="NF45" s="292"/>
      <c r="NG45" s="292"/>
      <c r="NH45" s="292"/>
      <c r="NI45" s="291"/>
      <c r="NJ45" s="292"/>
      <c r="NK45" s="292"/>
      <c r="NL45" s="292"/>
      <c r="NM45" s="291"/>
      <c r="NN45" s="292"/>
      <c r="NO45" s="292"/>
      <c r="NP45" s="292"/>
      <c r="NQ45" s="291"/>
      <c r="NR45" s="292"/>
      <c r="NS45" s="292"/>
      <c r="NT45" s="292"/>
      <c r="NU45" s="291"/>
      <c r="NV45" s="292"/>
      <c r="NW45" s="292"/>
      <c r="NX45" s="292"/>
      <c r="NY45" s="291"/>
      <c r="NZ45" s="292"/>
      <c r="OA45" s="292"/>
      <c r="OB45" s="292"/>
      <c r="OC45" s="291"/>
      <c r="OD45" s="292"/>
      <c r="OE45" s="292"/>
      <c r="OF45" s="292"/>
      <c r="OG45" s="291"/>
      <c r="OH45" s="292"/>
      <c r="OI45" s="292"/>
      <c r="OJ45" s="292"/>
      <c r="OK45" s="291"/>
      <c r="OL45" s="292"/>
      <c r="OM45" s="292"/>
      <c r="ON45" s="292"/>
      <c r="OO45" s="291"/>
      <c r="OP45" s="292"/>
      <c r="OQ45" s="292"/>
      <c r="OR45" s="292"/>
      <c r="OS45" s="291"/>
      <c r="OT45" s="292"/>
      <c r="OU45" s="292"/>
      <c r="OV45" s="292"/>
      <c r="OW45" s="291"/>
      <c r="OX45" s="292"/>
      <c r="OY45" s="292"/>
      <c r="OZ45" s="292"/>
      <c r="PA45" s="291"/>
      <c r="PB45" s="292"/>
      <c r="PC45" s="292"/>
      <c r="PD45" s="292"/>
      <c r="PE45" s="291"/>
      <c r="PF45" s="292"/>
      <c r="PG45" s="292"/>
      <c r="PH45" s="292"/>
      <c r="PI45" s="291"/>
      <c r="PJ45" s="292"/>
      <c r="PK45" s="292"/>
      <c r="PL45" s="292"/>
      <c r="PM45" s="291"/>
      <c r="PN45" s="292"/>
      <c r="PO45" s="292"/>
      <c r="PP45" s="292"/>
      <c r="PQ45" s="291"/>
      <c r="PR45" s="292"/>
      <c r="PS45" s="292"/>
      <c r="PT45" s="292"/>
      <c r="PU45" s="291"/>
      <c r="PV45" s="292"/>
      <c r="PW45" s="292"/>
      <c r="PX45" s="292"/>
      <c r="PY45" s="291"/>
      <c r="PZ45" s="292"/>
      <c r="QA45" s="292"/>
      <c r="QB45" s="292"/>
      <c r="QC45" s="291"/>
      <c r="QD45" s="292"/>
      <c r="QE45" s="292"/>
      <c r="QF45" s="292"/>
      <c r="QG45" s="291"/>
      <c r="QH45" s="292"/>
      <c r="QI45" s="292"/>
      <c r="QJ45" s="292"/>
      <c r="QK45" s="291"/>
      <c r="QL45" s="292"/>
      <c r="QM45" s="292"/>
      <c r="QN45" s="292"/>
      <c r="QO45" s="291"/>
      <c r="QP45" s="292"/>
      <c r="QQ45" s="292"/>
      <c r="QR45" s="292"/>
      <c r="QS45" s="291"/>
      <c r="QT45" s="292"/>
      <c r="QU45" s="292"/>
      <c r="QV45" s="292"/>
      <c r="QW45" s="291"/>
      <c r="QX45" s="292"/>
      <c r="QY45" s="292"/>
      <c r="QZ45" s="292"/>
      <c r="RA45" s="291"/>
      <c r="RB45" s="292"/>
      <c r="RC45" s="292"/>
      <c r="RD45" s="292"/>
      <c r="RE45" s="291"/>
      <c r="RF45" s="292"/>
      <c r="RG45" s="292"/>
      <c r="RH45" s="292"/>
      <c r="RI45" s="291"/>
      <c r="RJ45" s="292"/>
      <c r="RK45" s="292"/>
      <c r="RL45" s="292"/>
      <c r="RM45" s="291"/>
      <c r="RN45" s="292"/>
      <c r="RO45" s="292"/>
      <c r="RP45" s="292"/>
      <c r="RQ45" s="291"/>
      <c r="RR45" s="292"/>
      <c r="RS45" s="292"/>
      <c r="RT45" s="292"/>
      <c r="RU45" s="291"/>
      <c r="RV45" s="292"/>
      <c r="RW45" s="292"/>
      <c r="RX45" s="292"/>
      <c r="RY45" s="291"/>
      <c r="RZ45" s="292"/>
      <c r="SA45" s="292"/>
      <c r="SB45" s="292"/>
      <c r="SC45" s="291"/>
      <c r="SD45" s="292"/>
      <c r="SE45" s="292"/>
      <c r="SF45" s="292"/>
      <c r="SG45" s="291"/>
      <c r="SH45" s="292"/>
      <c r="SI45" s="292"/>
      <c r="SJ45" s="292"/>
      <c r="SK45" s="291"/>
      <c r="SL45" s="292"/>
      <c r="SM45" s="292"/>
      <c r="SN45" s="292"/>
      <c r="SO45" s="291"/>
      <c r="SP45" s="292"/>
      <c r="SQ45" s="292"/>
      <c r="SR45" s="292"/>
      <c r="SS45" s="291"/>
      <c r="ST45" s="292"/>
      <c r="SU45" s="292"/>
      <c r="SV45" s="292"/>
      <c r="SW45" s="291"/>
      <c r="SX45" s="292"/>
      <c r="SY45" s="292"/>
      <c r="SZ45" s="292"/>
      <c r="TA45" s="291"/>
      <c r="TB45" s="292"/>
      <c r="TC45" s="292"/>
      <c r="TD45" s="292"/>
      <c r="TE45" s="291"/>
      <c r="TF45" s="292"/>
      <c r="TG45" s="292"/>
      <c r="TH45" s="292"/>
      <c r="TI45" s="291"/>
      <c r="TJ45" s="292"/>
      <c r="TK45" s="292"/>
      <c r="TL45" s="292"/>
      <c r="TM45" s="291"/>
      <c r="TN45" s="292"/>
      <c r="TO45" s="292"/>
      <c r="TP45" s="292"/>
      <c r="TQ45" s="291"/>
      <c r="TR45" s="292"/>
      <c r="TS45" s="292"/>
      <c r="TT45" s="292"/>
      <c r="TU45" s="291"/>
      <c r="TV45" s="292"/>
      <c r="TW45" s="292"/>
      <c r="TX45" s="292"/>
      <c r="TY45" s="291"/>
      <c r="TZ45" s="292"/>
      <c r="UA45" s="292"/>
      <c r="UB45" s="292"/>
      <c r="UC45" s="291"/>
      <c r="UD45" s="292"/>
      <c r="UE45" s="292"/>
      <c r="UF45" s="292"/>
      <c r="UG45" s="291"/>
      <c r="UH45" s="292"/>
      <c r="UI45" s="292"/>
      <c r="UJ45" s="292"/>
      <c r="UK45" s="291"/>
      <c r="UL45" s="292"/>
      <c r="UM45" s="292"/>
      <c r="UN45" s="292"/>
      <c r="UO45" s="291"/>
      <c r="UP45" s="292"/>
      <c r="UQ45" s="292"/>
      <c r="UR45" s="292"/>
      <c r="US45" s="291"/>
      <c r="UT45" s="292"/>
      <c r="UU45" s="292"/>
      <c r="UV45" s="292"/>
      <c r="UW45" s="291"/>
      <c r="UX45" s="292"/>
      <c r="UY45" s="292"/>
      <c r="UZ45" s="292"/>
      <c r="VA45" s="291"/>
      <c r="VB45" s="292"/>
      <c r="VC45" s="292"/>
      <c r="VD45" s="292"/>
      <c r="VE45" s="291"/>
      <c r="VF45" s="292"/>
      <c r="VG45" s="292"/>
      <c r="VH45" s="292"/>
      <c r="VI45" s="291"/>
      <c r="VJ45" s="292"/>
      <c r="VK45" s="292"/>
      <c r="VL45" s="292"/>
      <c r="VM45" s="291"/>
      <c r="VN45" s="292"/>
      <c r="VO45" s="292"/>
      <c r="VP45" s="292"/>
      <c r="VQ45" s="291"/>
      <c r="VR45" s="292"/>
      <c r="VS45" s="292"/>
      <c r="VT45" s="292"/>
      <c r="VU45" s="291"/>
      <c r="VV45" s="292"/>
      <c r="VW45" s="292"/>
      <c r="VX45" s="292"/>
      <c r="VY45" s="291"/>
      <c r="VZ45" s="292"/>
      <c r="WA45" s="292"/>
      <c r="WB45" s="292"/>
      <c r="WC45" s="291"/>
      <c r="WD45" s="292"/>
      <c r="WE45" s="292"/>
      <c r="WF45" s="292"/>
      <c r="WG45" s="291"/>
      <c r="WH45" s="292"/>
      <c r="WI45" s="292"/>
      <c r="WJ45" s="292"/>
      <c r="WK45" s="291"/>
      <c r="WL45" s="292"/>
      <c r="WM45" s="292"/>
      <c r="WN45" s="292"/>
      <c r="WO45" s="291"/>
      <c r="WP45" s="292"/>
      <c r="WQ45" s="292"/>
      <c r="WR45" s="292"/>
      <c r="WS45" s="291"/>
      <c r="WT45" s="292"/>
      <c r="WU45" s="292"/>
      <c r="WV45" s="292"/>
      <c r="WW45" s="291"/>
      <c r="WX45" s="292"/>
      <c r="WY45" s="292"/>
      <c r="WZ45" s="292"/>
      <c r="XA45" s="291"/>
      <c r="XB45" s="292"/>
      <c r="XC45" s="292"/>
      <c r="XD45" s="292"/>
      <c r="XE45" s="291"/>
      <c r="XF45" s="292"/>
      <c r="XG45" s="292"/>
      <c r="XH45" s="292"/>
      <c r="XI45" s="291"/>
      <c r="XJ45" s="292"/>
      <c r="XK45" s="292"/>
      <c r="XL45" s="292"/>
      <c r="XM45" s="291"/>
      <c r="XN45" s="292"/>
      <c r="XO45" s="292"/>
      <c r="XP45" s="292"/>
      <c r="XQ45" s="291"/>
      <c r="XR45" s="292"/>
      <c r="XS45" s="292"/>
      <c r="XT45" s="292"/>
      <c r="XU45" s="291"/>
      <c r="XV45" s="292"/>
      <c r="XW45" s="292"/>
      <c r="XX45" s="292"/>
      <c r="XY45" s="291"/>
      <c r="XZ45" s="292"/>
      <c r="YA45" s="292"/>
      <c r="YB45" s="292"/>
      <c r="YC45" s="291"/>
      <c r="YD45" s="292"/>
      <c r="YE45" s="292"/>
      <c r="YF45" s="292"/>
      <c r="YG45" s="291"/>
      <c r="YH45" s="292"/>
      <c r="YI45" s="292"/>
      <c r="YJ45" s="292"/>
      <c r="YK45" s="291"/>
      <c r="YL45" s="292"/>
      <c r="YM45" s="292"/>
      <c r="YN45" s="292"/>
      <c r="YO45" s="291"/>
      <c r="YP45" s="292"/>
      <c r="YQ45" s="292"/>
      <c r="YR45" s="292"/>
      <c r="YS45" s="291"/>
      <c r="YT45" s="292"/>
      <c r="YU45" s="292"/>
      <c r="YV45" s="292"/>
      <c r="YW45" s="291"/>
      <c r="YX45" s="292"/>
      <c r="YY45" s="292"/>
      <c r="YZ45" s="292"/>
      <c r="ZA45" s="291"/>
      <c r="ZB45" s="292"/>
      <c r="ZC45" s="292"/>
      <c r="ZD45" s="292"/>
      <c r="ZE45" s="291"/>
      <c r="ZF45" s="292"/>
      <c r="ZG45" s="292"/>
      <c r="ZH45" s="292"/>
      <c r="ZI45" s="291"/>
      <c r="ZJ45" s="292"/>
      <c r="ZK45" s="292"/>
      <c r="ZL45" s="292"/>
      <c r="ZM45" s="291"/>
      <c r="ZN45" s="292"/>
      <c r="ZO45" s="292"/>
      <c r="ZP45" s="292"/>
      <c r="ZQ45" s="291"/>
      <c r="ZR45" s="292"/>
      <c r="ZS45" s="292"/>
      <c r="ZT45" s="292"/>
      <c r="ZU45" s="291"/>
      <c r="ZV45" s="292"/>
      <c r="ZW45" s="292"/>
      <c r="ZX45" s="292"/>
      <c r="ZY45" s="291"/>
      <c r="ZZ45" s="292"/>
      <c r="AAA45" s="292"/>
      <c r="AAB45" s="292"/>
      <c r="AAC45" s="291"/>
      <c r="AAD45" s="292"/>
      <c r="AAE45" s="292"/>
      <c r="AAF45" s="292"/>
      <c r="AAG45" s="291"/>
      <c r="AAH45" s="292"/>
      <c r="AAI45" s="292"/>
      <c r="AAJ45" s="292"/>
      <c r="AAK45" s="291"/>
      <c r="AAL45" s="292"/>
      <c r="AAM45" s="292"/>
      <c r="AAN45" s="292"/>
      <c r="AAO45" s="291"/>
      <c r="AAP45" s="292"/>
      <c r="AAQ45" s="292"/>
      <c r="AAR45" s="292"/>
      <c r="AAS45" s="291"/>
      <c r="AAT45" s="292"/>
      <c r="AAU45" s="292"/>
      <c r="AAV45" s="292"/>
      <c r="AAW45" s="291"/>
      <c r="AAX45" s="292"/>
      <c r="AAY45" s="292"/>
      <c r="AAZ45" s="292"/>
      <c r="ABA45" s="291"/>
      <c r="ABB45" s="292"/>
      <c r="ABC45" s="292"/>
      <c r="ABD45" s="292"/>
      <c r="ABE45" s="291"/>
      <c r="ABF45" s="292"/>
      <c r="ABG45" s="292"/>
      <c r="ABH45" s="292"/>
      <c r="ABI45" s="291"/>
      <c r="ABJ45" s="292"/>
      <c r="ABK45" s="292"/>
      <c r="ABL45" s="292"/>
      <c r="ABM45" s="291"/>
      <c r="ABN45" s="292"/>
      <c r="ABO45" s="292"/>
      <c r="ABP45" s="292"/>
      <c r="ABQ45" s="291"/>
      <c r="ABR45" s="292"/>
      <c r="ABS45" s="292"/>
      <c r="ABT45" s="292"/>
      <c r="ABU45" s="291"/>
      <c r="ABV45" s="292"/>
      <c r="ABW45" s="292"/>
      <c r="ABX45" s="292"/>
      <c r="ABY45" s="291"/>
      <c r="ABZ45" s="292"/>
      <c r="ACA45" s="292"/>
      <c r="ACB45" s="292"/>
      <c r="ACC45" s="291"/>
      <c r="ACD45" s="292"/>
      <c r="ACE45" s="292"/>
      <c r="ACF45" s="292"/>
      <c r="ACG45" s="291"/>
      <c r="ACH45" s="292"/>
      <c r="ACI45" s="292"/>
      <c r="ACJ45" s="292"/>
      <c r="ACK45" s="291"/>
      <c r="ACL45" s="292"/>
      <c r="ACM45" s="292"/>
      <c r="ACN45" s="292"/>
      <c r="ACO45" s="291"/>
      <c r="ACP45" s="292"/>
      <c r="ACQ45" s="292"/>
      <c r="ACR45" s="292"/>
      <c r="ACS45" s="291"/>
      <c r="ACT45" s="292"/>
      <c r="ACU45" s="292"/>
      <c r="ACV45" s="292"/>
      <c r="ACW45" s="291"/>
      <c r="ACX45" s="292"/>
      <c r="ACY45" s="292"/>
      <c r="ACZ45" s="292"/>
      <c r="ADA45" s="291"/>
      <c r="ADB45" s="292"/>
      <c r="ADC45" s="292"/>
      <c r="ADD45" s="292"/>
      <c r="ADE45" s="291"/>
      <c r="ADF45" s="292"/>
      <c r="ADG45" s="292"/>
      <c r="ADH45" s="292"/>
      <c r="ADI45" s="291"/>
      <c r="ADJ45" s="292"/>
      <c r="ADK45" s="292"/>
      <c r="ADL45" s="292"/>
      <c r="ADM45" s="291"/>
      <c r="ADN45" s="292"/>
      <c r="ADO45" s="292"/>
      <c r="ADP45" s="292"/>
      <c r="ADQ45" s="291"/>
      <c r="ADR45" s="292"/>
      <c r="ADS45" s="292"/>
      <c r="ADT45" s="292"/>
      <c r="ADU45" s="291"/>
      <c r="ADV45" s="292"/>
      <c r="ADW45" s="292"/>
      <c r="ADX45" s="292"/>
      <c r="ADY45" s="291"/>
      <c r="ADZ45" s="292"/>
      <c r="AEA45" s="292"/>
      <c r="AEB45" s="292"/>
      <c r="AEC45" s="291"/>
      <c r="AED45" s="292"/>
      <c r="AEE45" s="292"/>
      <c r="AEF45" s="292"/>
      <c r="AEG45" s="291"/>
      <c r="AEH45" s="292"/>
      <c r="AEI45" s="292"/>
      <c r="AEJ45" s="292"/>
      <c r="AEK45" s="291"/>
      <c r="AEL45" s="292"/>
      <c r="AEM45" s="292"/>
      <c r="AEN45" s="292"/>
      <c r="AEO45" s="291"/>
      <c r="AEP45" s="292"/>
      <c r="AEQ45" s="292"/>
      <c r="AER45" s="292"/>
      <c r="AES45" s="291"/>
      <c r="AET45" s="292"/>
      <c r="AEU45" s="292"/>
      <c r="AEV45" s="292"/>
      <c r="AEW45" s="291"/>
      <c r="AEX45" s="292"/>
      <c r="AEY45" s="292"/>
      <c r="AEZ45" s="292"/>
      <c r="AFA45" s="291"/>
      <c r="AFB45" s="292"/>
      <c r="AFC45" s="292"/>
      <c r="AFD45" s="292"/>
      <c r="AFE45" s="291"/>
      <c r="AFF45" s="292"/>
      <c r="AFG45" s="292"/>
      <c r="AFH45" s="292"/>
      <c r="AFI45" s="291"/>
      <c r="AFJ45" s="292"/>
      <c r="AFK45" s="292"/>
      <c r="AFL45" s="292"/>
      <c r="AFM45" s="291"/>
      <c r="AFN45" s="292"/>
      <c r="AFO45" s="292"/>
      <c r="AFP45" s="292"/>
      <c r="AFQ45" s="291"/>
      <c r="AFR45" s="292"/>
      <c r="AFS45" s="292"/>
      <c r="AFT45" s="292"/>
      <c r="AFU45" s="291"/>
      <c r="AFV45" s="292"/>
      <c r="AFW45" s="292"/>
      <c r="AFX45" s="292"/>
      <c r="AFY45" s="291"/>
      <c r="AFZ45" s="292"/>
      <c r="AGA45" s="292"/>
      <c r="AGB45" s="292"/>
      <c r="AGC45" s="291"/>
      <c r="AGD45" s="292"/>
      <c r="AGE45" s="292"/>
      <c r="AGF45" s="292"/>
      <c r="AGG45" s="291"/>
      <c r="AGH45" s="292"/>
      <c r="AGI45" s="292"/>
      <c r="AGJ45" s="292"/>
      <c r="AGK45" s="291"/>
      <c r="AGL45" s="292"/>
      <c r="AGM45" s="292"/>
      <c r="AGN45" s="292"/>
      <c r="AGO45" s="291"/>
      <c r="AGP45" s="292"/>
      <c r="AGQ45" s="292"/>
      <c r="AGR45" s="292"/>
      <c r="AGS45" s="291"/>
      <c r="AGT45" s="292"/>
      <c r="AGU45" s="292"/>
      <c r="AGV45" s="292"/>
      <c r="AGW45" s="291"/>
      <c r="AGX45" s="292"/>
      <c r="AGY45" s="292"/>
      <c r="AGZ45" s="292"/>
      <c r="AHA45" s="291"/>
      <c r="AHB45" s="292"/>
      <c r="AHC45" s="292"/>
      <c r="AHD45" s="292"/>
      <c r="AHE45" s="291"/>
      <c r="AHF45" s="292"/>
      <c r="AHG45" s="292"/>
      <c r="AHH45" s="292"/>
      <c r="AHI45" s="291"/>
      <c r="AHJ45" s="292"/>
      <c r="AHK45" s="292"/>
      <c r="AHL45" s="292"/>
      <c r="AHM45" s="291"/>
      <c r="AHN45" s="292"/>
      <c r="AHO45" s="292"/>
      <c r="AHP45" s="292"/>
      <c r="AHQ45" s="291"/>
      <c r="AHR45" s="292"/>
      <c r="AHS45" s="292"/>
      <c r="AHT45" s="292"/>
      <c r="AHU45" s="291"/>
      <c r="AHV45" s="292"/>
      <c r="AHW45" s="292"/>
      <c r="AHX45" s="292"/>
      <c r="AHY45" s="291"/>
      <c r="AHZ45" s="292"/>
      <c r="AIA45" s="292"/>
      <c r="AIB45" s="292"/>
      <c r="AIC45" s="291"/>
      <c r="AID45" s="292"/>
      <c r="AIE45" s="292"/>
      <c r="AIF45" s="292"/>
      <c r="AIG45" s="291"/>
      <c r="AIH45" s="292"/>
      <c r="AII45" s="292"/>
      <c r="AIJ45" s="292"/>
      <c r="AIK45" s="291"/>
      <c r="AIL45" s="292"/>
      <c r="AIM45" s="292"/>
      <c r="AIN45" s="292"/>
      <c r="AIO45" s="291"/>
      <c r="AIP45" s="292"/>
      <c r="AIQ45" s="292"/>
      <c r="AIR45" s="292"/>
      <c r="AIS45" s="291"/>
      <c r="AIT45" s="292"/>
      <c r="AIU45" s="292"/>
      <c r="AIV45" s="292"/>
      <c r="AIW45" s="291"/>
      <c r="AIX45" s="292"/>
      <c r="AIY45" s="292"/>
      <c r="AIZ45" s="292"/>
      <c r="AJA45" s="291"/>
      <c r="AJB45" s="292"/>
      <c r="AJC45" s="292"/>
      <c r="AJD45" s="292"/>
      <c r="AJE45" s="291"/>
      <c r="AJF45" s="292"/>
      <c r="AJG45" s="292"/>
      <c r="AJH45" s="292"/>
      <c r="AJI45" s="291"/>
      <c r="AJJ45" s="292"/>
      <c r="AJK45" s="292"/>
      <c r="AJL45" s="292"/>
      <c r="AJM45" s="291"/>
      <c r="AJN45" s="292"/>
      <c r="AJO45" s="292"/>
      <c r="AJP45" s="292"/>
      <c r="AJQ45" s="291"/>
      <c r="AJR45" s="292"/>
      <c r="AJS45" s="292"/>
      <c r="AJT45" s="292"/>
      <c r="AJU45" s="291"/>
      <c r="AJV45" s="292"/>
      <c r="AJW45" s="292"/>
      <c r="AJX45" s="292"/>
      <c r="AJY45" s="291"/>
      <c r="AJZ45" s="292"/>
      <c r="AKA45" s="292"/>
      <c r="AKB45" s="292"/>
      <c r="AKC45" s="291"/>
      <c r="AKD45" s="292"/>
      <c r="AKE45" s="292"/>
      <c r="AKF45" s="292"/>
      <c r="AKG45" s="291"/>
      <c r="AKH45" s="292"/>
      <c r="AKI45" s="292"/>
      <c r="AKJ45" s="292"/>
      <c r="AKK45" s="291"/>
      <c r="AKL45" s="292"/>
      <c r="AKM45" s="292"/>
      <c r="AKN45" s="292"/>
      <c r="AKO45" s="291"/>
      <c r="AKP45" s="292"/>
      <c r="AKQ45" s="292"/>
      <c r="AKR45" s="292"/>
      <c r="AKS45" s="291"/>
      <c r="AKT45" s="292"/>
      <c r="AKU45" s="292"/>
      <c r="AKV45" s="292"/>
      <c r="AKW45" s="291"/>
      <c r="AKX45" s="292"/>
      <c r="AKY45" s="292"/>
      <c r="AKZ45" s="292"/>
      <c r="ALA45" s="291"/>
      <c r="ALB45" s="292"/>
      <c r="ALC45" s="292"/>
      <c r="ALD45" s="292"/>
      <c r="ALE45" s="291"/>
      <c r="ALF45" s="292"/>
      <c r="ALG45" s="292"/>
      <c r="ALH45" s="292"/>
      <c r="ALI45" s="291"/>
      <c r="ALJ45" s="292"/>
      <c r="ALK45" s="292"/>
      <c r="ALL45" s="292"/>
      <c r="ALM45" s="291"/>
      <c r="ALN45" s="292"/>
      <c r="ALO45" s="292"/>
      <c r="ALP45" s="292"/>
      <c r="ALQ45" s="291"/>
      <c r="ALR45" s="292"/>
      <c r="ALS45" s="292"/>
      <c r="ALT45" s="292"/>
      <c r="ALU45" s="291"/>
      <c r="ALV45" s="292"/>
      <c r="ALW45" s="292"/>
      <c r="ALX45" s="292"/>
      <c r="ALY45" s="291"/>
      <c r="ALZ45" s="292"/>
      <c r="AMA45" s="292"/>
      <c r="AMB45" s="292"/>
      <c r="AMC45" s="291"/>
      <c r="AMD45" s="292"/>
      <c r="AME45" s="292"/>
      <c r="AMF45" s="292"/>
      <c r="AMG45" s="291"/>
      <c r="AMH45" s="292"/>
      <c r="AMI45" s="292"/>
      <c r="AMJ45" s="292"/>
      <c r="AMK45" s="291"/>
      <c r="AML45" s="292"/>
      <c r="AMM45" s="292"/>
      <c r="AMN45" s="292"/>
      <c r="AMO45" s="291"/>
      <c r="AMP45" s="292"/>
      <c r="AMQ45" s="292"/>
      <c r="AMR45" s="292"/>
      <c r="AMS45" s="291"/>
      <c r="AMT45" s="292"/>
      <c r="AMU45" s="292"/>
      <c r="AMV45" s="292"/>
      <c r="AMW45" s="291"/>
      <c r="AMX45" s="292"/>
      <c r="AMY45" s="292"/>
      <c r="AMZ45" s="292"/>
      <c r="ANA45" s="291"/>
      <c r="ANB45" s="292"/>
      <c r="ANC45" s="292"/>
      <c r="AND45" s="292"/>
      <c r="ANE45" s="291"/>
      <c r="ANF45" s="292"/>
      <c r="ANG45" s="292"/>
      <c r="ANH45" s="292"/>
      <c r="ANI45" s="291"/>
      <c r="ANJ45" s="292"/>
      <c r="ANK45" s="292"/>
      <c r="ANL45" s="292"/>
      <c r="ANM45" s="291"/>
      <c r="ANN45" s="292"/>
      <c r="ANO45" s="292"/>
      <c r="ANP45" s="292"/>
      <c r="ANQ45" s="291"/>
      <c r="ANR45" s="292"/>
      <c r="ANS45" s="292"/>
      <c r="ANT45" s="292"/>
      <c r="ANU45" s="291"/>
      <c r="ANV45" s="292"/>
      <c r="ANW45" s="292"/>
      <c r="ANX45" s="292"/>
      <c r="ANY45" s="291"/>
      <c r="ANZ45" s="292"/>
      <c r="AOA45" s="292"/>
      <c r="AOB45" s="292"/>
      <c r="AOC45" s="291"/>
      <c r="AOD45" s="292"/>
      <c r="AOE45" s="292"/>
      <c r="AOF45" s="292"/>
      <c r="AOG45" s="291"/>
      <c r="AOH45" s="292"/>
      <c r="AOI45" s="292"/>
      <c r="AOJ45" s="292"/>
      <c r="AOK45" s="291"/>
      <c r="AOL45" s="292"/>
      <c r="AOM45" s="292"/>
      <c r="AON45" s="292"/>
      <c r="AOO45" s="291"/>
      <c r="AOP45" s="292"/>
      <c r="AOQ45" s="292"/>
      <c r="AOR45" s="292"/>
      <c r="AOS45" s="291"/>
      <c r="AOT45" s="292"/>
      <c r="AOU45" s="292"/>
      <c r="AOV45" s="292"/>
      <c r="AOW45" s="291"/>
      <c r="AOX45" s="292"/>
      <c r="AOY45" s="292"/>
      <c r="AOZ45" s="292"/>
      <c r="APA45" s="291"/>
      <c r="APB45" s="292"/>
      <c r="APC45" s="292"/>
      <c r="APD45" s="292"/>
      <c r="APE45" s="291"/>
      <c r="APF45" s="292"/>
      <c r="APG45" s="292"/>
      <c r="APH45" s="292"/>
      <c r="API45" s="291"/>
      <c r="APJ45" s="292"/>
      <c r="APK45" s="292"/>
      <c r="APL45" s="292"/>
      <c r="APM45" s="291"/>
      <c r="APN45" s="292"/>
      <c r="APO45" s="292"/>
      <c r="APP45" s="292"/>
      <c r="APQ45" s="291"/>
      <c r="APR45" s="292"/>
      <c r="APS45" s="292"/>
      <c r="APT45" s="292"/>
      <c r="APU45" s="291"/>
      <c r="APV45" s="292"/>
      <c r="APW45" s="292"/>
      <c r="APX45" s="292"/>
      <c r="APY45" s="291"/>
      <c r="APZ45" s="292"/>
      <c r="AQA45" s="292"/>
      <c r="AQB45" s="292"/>
      <c r="AQC45" s="291"/>
      <c r="AQD45" s="292"/>
      <c r="AQE45" s="292"/>
      <c r="AQF45" s="292"/>
      <c r="AQG45" s="291"/>
      <c r="AQH45" s="292"/>
      <c r="AQI45" s="292"/>
      <c r="AQJ45" s="292"/>
      <c r="AQK45" s="291"/>
      <c r="AQL45" s="292"/>
      <c r="AQM45" s="292"/>
      <c r="AQN45" s="292"/>
      <c r="AQO45" s="291"/>
      <c r="AQP45" s="292"/>
      <c r="AQQ45" s="292"/>
      <c r="AQR45" s="292"/>
      <c r="AQS45" s="291"/>
      <c r="AQT45" s="292"/>
      <c r="AQU45" s="292"/>
      <c r="AQV45" s="292"/>
      <c r="AQW45" s="291"/>
      <c r="AQX45" s="292"/>
      <c r="AQY45" s="292"/>
      <c r="AQZ45" s="292"/>
      <c r="ARA45" s="291"/>
      <c r="ARB45" s="292"/>
      <c r="ARC45" s="292"/>
      <c r="ARD45" s="292"/>
      <c r="ARE45" s="291"/>
      <c r="ARF45" s="292"/>
      <c r="ARG45" s="292"/>
      <c r="ARH45" s="292"/>
      <c r="ARI45" s="291"/>
      <c r="ARJ45" s="292"/>
      <c r="ARK45" s="292"/>
      <c r="ARL45" s="292"/>
      <c r="ARM45" s="291"/>
      <c r="ARN45" s="292"/>
      <c r="ARO45" s="292"/>
      <c r="ARP45" s="292"/>
      <c r="ARQ45" s="291"/>
      <c r="ARR45" s="292"/>
      <c r="ARS45" s="292"/>
      <c r="ART45" s="292"/>
      <c r="ARU45" s="291"/>
      <c r="ARV45" s="292"/>
      <c r="ARW45" s="292"/>
      <c r="ARX45" s="292"/>
      <c r="ARY45" s="291"/>
      <c r="ARZ45" s="292"/>
      <c r="ASA45" s="292"/>
      <c r="ASB45" s="292"/>
      <c r="ASC45" s="291"/>
      <c r="ASD45" s="292"/>
      <c r="ASE45" s="292"/>
      <c r="ASF45" s="292"/>
      <c r="ASG45" s="291"/>
      <c r="ASH45" s="292"/>
      <c r="ASI45" s="292"/>
      <c r="ASJ45" s="292"/>
      <c r="ASK45" s="291"/>
      <c r="ASL45" s="292"/>
      <c r="ASM45" s="292"/>
      <c r="ASN45" s="292"/>
      <c r="ASO45" s="291"/>
      <c r="ASP45" s="292"/>
      <c r="ASQ45" s="292"/>
      <c r="ASR45" s="292"/>
      <c r="ASS45" s="291"/>
      <c r="AST45" s="292"/>
      <c r="ASU45" s="292"/>
      <c r="ASV45" s="292"/>
      <c r="ASW45" s="291"/>
      <c r="ASX45" s="292"/>
      <c r="ASY45" s="292"/>
      <c r="ASZ45" s="292"/>
      <c r="ATA45" s="291"/>
      <c r="ATB45" s="292"/>
      <c r="ATC45" s="292"/>
      <c r="ATD45" s="292"/>
      <c r="ATE45" s="291"/>
      <c r="ATF45" s="292"/>
      <c r="ATG45" s="292"/>
      <c r="ATH45" s="292"/>
      <c r="ATI45" s="291"/>
      <c r="ATJ45" s="292"/>
      <c r="ATK45" s="292"/>
      <c r="ATL45" s="292"/>
      <c r="ATM45" s="291"/>
      <c r="ATN45" s="292"/>
      <c r="ATO45" s="292"/>
      <c r="ATP45" s="292"/>
      <c r="ATQ45" s="291"/>
      <c r="ATR45" s="292"/>
      <c r="ATS45" s="292"/>
      <c r="ATT45" s="292"/>
      <c r="ATU45" s="291"/>
      <c r="ATV45" s="292"/>
      <c r="ATW45" s="292"/>
      <c r="ATX45" s="292"/>
      <c r="ATY45" s="291"/>
      <c r="ATZ45" s="292"/>
      <c r="AUA45" s="292"/>
      <c r="AUB45" s="292"/>
      <c r="AUC45" s="291"/>
      <c r="AUD45" s="292"/>
      <c r="AUE45" s="292"/>
      <c r="AUF45" s="292"/>
      <c r="AUG45" s="291"/>
      <c r="AUH45" s="292"/>
      <c r="AUI45" s="292"/>
      <c r="AUJ45" s="292"/>
      <c r="AUK45" s="291"/>
      <c r="AUL45" s="292"/>
      <c r="AUM45" s="292"/>
      <c r="AUN45" s="292"/>
      <c r="AUO45" s="291"/>
      <c r="AUP45" s="292"/>
      <c r="AUQ45" s="292"/>
      <c r="AUR45" s="292"/>
      <c r="AUS45" s="291"/>
      <c r="AUT45" s="292"/>
      <c r="AUU45" s="292"/>
      <c r="AUV45" s="292"/>
      <c r="AUW45" s="291"/>
      <c r="AUX45" s="292"/>
      <c r="AUY45" s="292"/>
      <c r="AUZ45" s="292"/>
      <c r="AVA45" s="291"/>
      <c r="AVB45" s="292"/>
      <c r="AVC45" s="292"/>
      <c r="AVD45" s="292"/>
      <c r="AVE45" s="291"/>
      <c r="AVF45" s="292"/>
      <c r="AVG45" s="292"/>
      <c r="AVH45" s="292"/>
      <c r="AVI45" s="291"/>
      <c r="AVJ45" s="292"/>
      <c r="AVK45" s="292"/>
      <c r="AVL45" s="292"/>
      <c r="AVM45" s="291"/>
      <c r="AVN45" s="292"/>
      <c r="AVO45" s="292"/>
      <c r="AVP45" s="292"/>
      <c r="AVQ45" s="291"/>
      <c r="AVR45" s="292"/>
      <c r="AVS45" s="292"/>
      <c r="AVT45" s="292"/>
      <c r="AVU45" s="291"/>
      <c r="AVV45" s="292"/>
      <c r="AVW45" s="292"/>
      <c r="AVX45" s="292"/>
      <c r="AVY45" s="291"/>
      <c r="AVZ45" s="292"/>
      <c r="AWA45" s="292"/>
      <c r="AWB45" s="292"/>
      <c r="AWC45" s="291"/>
      <c r="AWD45" s="292"/>
      <c r="AWE45" s="292"/>
      <c r="AWF45" s="292"/>
      <c r="AWG45" s="291"/>
      <c r="AWH45" s="292"/>
      <c r="AWI45" s="292"/>
      <c r="AWJ45" s="292"/>
      <c r="AWK45" s="291"/>
      <c r="AWL45" s="292"/>
      <c r="AWM45" s="292"/>
      <c r="AWN45" s="292"/>
      <c r="AWO45" s="291"/>
      <c r="AWP45" s="292"/>
      <c r="AWQ45" s="292"/>
      <c r="AWR45" s="292"/>
      <c r="AWS45" s="291"/>
      <c r="AWT45" s="292"/>
      <c r="AWU45" s="292"/>
      <c r="AWV45" s="292"/>
      <c r="AWW45" s="291"/>
      <c r="AWX45" s="292"/>
      <c r="AWY45" s="292"/>
      <c r="AWZ45" s="292"/>
      <c r="AXA45" s="291"/>
      <c r="AXB45" s="292"/>
      <c r="AXC45" s="292"/>
      <c r="AXD45" s="292"/>
      <c r="AXE45" s="291"/>
      <c r="AXF45" s="292"/>
      <c r="AXG45" s="292"/>
      <c r="AXH45" s="292"/>
      <c r="AXI45" s="291"/>
      <c r="AXJ45" s="292"/>
      <c r="AXK45" s="292"/>
      <c r="AXL45" s="292"/>
      <c r="AXM45" s="291"/>
      <c r="AXN45" s="292"/>
      <c r="AXO45" s="292"/>
      <c r="AXP45" s="292"/>
      <c r="AXQ45" s="291"/>
      <c r="AXR45" s="292"/>
      <c r="AXS45" s="292"/>
      <c r="AXT45" s="292"/>
      <c r="AXU45" s="291"/>
      <c r="AXV45" s="292"/>
      <c r="AXW45" s="292"/>
      <c r="AXX45" s="292"/>
      <c r="AXY45" s="291"/>
      <c r="AXZ45" s="292"/>
      <c r="AYA45" s="292"/>
      <c r="AYB45" s="292"/>
      <c r="AYC45" s="291"/>
      <c r="AYD45" s="292"/>
      <c r="AYE45" s="292"/>
      <c r="AYF45" s="292"/>
      <c r="AYG45" s="291"/>
      <c r="AYH45" s="292"/>
      <c r="AYI45" s="292"/>
      <c r="AYJ45" s="292"/>
      <c r="AYK45" s="291"/>
      <c r="AYL45" s="292"/>
      <c r="AYM45" s="292"/>
      <c r="AYN45" s="292"/>
      <c r="AYO45" s="291"/>
      <c r="AYP45" s="292"/>
      <c r="AYQ45" s="292"/>
      <c r="AYR45" s="292"/>
      <c r="AYS45" s="291"/>
      <c r="AYT45" s="292"/>
      <c r="AYU45" s="292"/>
      <c r="AYV45" s="292"/>
      <c r="AYW45" s="291"/>
      <c r="AYX45" s="292"/>
      <c r="AYY45" s="292"/>
      <c r="AYZ45" s="292"/>
      <c r="AZA45" s="291"/>
      <c r="AZB45" s="292"/>
      <c r="AZC45" s="292"/>
      <c r="AZD45" s="292"/>
      <c r="AZE45" s="291"/>
      <c r="AZF45" s="292"/>
      <c r="AZG45" s="292"/>
      <c r="AZH45" s="292"/>
      <c r="AZI45" s="291"/>
      <c r="AZJ45" s="292"/>
      <c r="AZK45" s="292"/>
      <c r="AZL45" s="292"/>
      <c r="AZM45" s="291"/>
      <c r="AZN45" s="292"/>
      <c r="AZO45" s="292"/>
      <c r="AZP45" s="292"/>
      <c r="AZQ45" s="291"/>
      <c r="AZR45" s="292"/>
      <c r="AZS45" s="292"/>
      <c r="AZT45" s="292"/>
      <c r="AZU45" s="291"/>
      <c r="AZV45" s="292"/>
      <c r="AZW45" s="292"/>
      <c r="AZX45" s="292"/>
      <c r="AZY45" s="291"/>
      <c r="AZZ45" s="292"/>
      <c r="BAA45" s="292"/>
      <c r="BAB45" s="292"/>
      <c r="BAC45" s="291"/>
      <c r="BAD45" s="292"/>
      <c r="BAE45" s="292"/>
      <c r="BAF45" s="292"/>
      <c r="BAG45" s="291"/>
      <c r="BAH45" s="292"/>
      <c r="BAI45" s="292"/>
      <c r="BAJ45" s="292"/>
      <c r="BAK45" s="291"/>
      <c r="BAL45" s="292"/>
      <c r="BAM45" s="292"/>
      <c r="BAN45" s="292"/>
      <c r="BAO45" s="291"/>
      <c r="BAP45" s="292"/>
      <c r="BAQ45" s="292"/>
      <c r="BAR45" s="292"/>
      <c r="BAS45" s="291"/>
      <c r="BAT45" s="292"/>
      <c r="BAU45" s="292"/>
      <c r="BAV45" s="292"/>
      <c r="BAW45" s="291"/>
      <c r="BAX45" s="292"/>
      <c r="BAY45" s="292"/>
      <c r="BAZ45" s="292"/>
      <c r="BBA45" s="291"/>
      <c r="BBB45" s="292"/>
      <c r="BBC45" s="292"/>
      <c r="BBD45" s="292"/>
      <c r="BBE45" s="291"/>
      <c r="BBF45" s="292"/>
      <c r="BBG45" s="292"/>
      <c r="BBH45" s="292"/>
      <c r="BBI45" s="291"/>
      <c r="BBJ45" s="292"/>
      <c r="BBK45" s="292"/>
      <c r="BBL45" s="292"/>
      <c r="BBM45" s="291"/>
      <c r="BBN45" s="292"/>
      <c r="BBO45" s="292"/>
      <c r="BBP45" s="292"/>
      <c r="BBQ45" s="291"/>
      <c r="BBR45" s="292"/>
      <c r="BBS45" s="292"/>
      <c r="BBT45" s="292"/>
      <c r="BBU45" s="291"/>
      <c r="BBV45" s="292"/>
      <c r="BBW45" s="292"/>
      <c r="BBX45" s="292"/>
      <c r="BBY45" s="291"/>
      <c r="BBZ45" s="292"/>
      <c r="BCA45" s="292"/>
      <c r="BCB45" s="292"/>
      <c r="BCC45" s="291"/>
      <c r="BCD45" s="292"/>
      <c r="BCE45" s="292"/>
      <c r="BCF45" s="292"/>
      <c r="BCG45" s="291"/>
      <c r="BCH45" s="292"/>
      <c r="BCI45" s="292"/>
      <c r="BCJ45" s="292"/>
      <c r="BCK45" s="291"/>
      <c r="BCL45" s="292"/>
      <c r="BCM45" s="292"/>
      <c r="BCN45" s="292"/>
      <c r="BCO45" s="291"/>
      <c r="BCP45" s="292"/>
      <c r="BCQ45" s="292"/>
      <c r="BCR45" s="292"/>
      <c r="BCS45" s="291"/>
      <c r="BCT45" s="292"/>
      <c r="BCU45" s="292"/>
      <c r="BCV45" s="292"/>
      <c r="BCW45" s="291"/>
      <c r="BCX45" s="292"/>
      <c r="BCY45" s="292"/>
      <c r="BCZ45" s="292"/>
      <c r="BDA45" s="291"/>
      <c r="BDB45" s="292"/>
      <c r="BDC45" s="292"/>
      <c r="BDD45" s="292"/>
      <c r="BDE45" s="291"/>
      <c r="BDF45" s="292"/>
      <c r="BDG45" s="292"/>
      <c r="BDH45" s="292"/>
      <c r="BDI45" s="291"/>
      <c r="BDJ45" s="292"/>
      <c r="BDK45" s="292"/>
      <c r="BDL45" s="292"/>
      <c r="BDM45" s="291"/>
      <c r="BDN45" s="292"/>
      <c r="BDO45" s="292"/>
      <c r="BDP45" s="292"/>
      <c r="BDQ45" s="291"/>
      <c r="BDR45" s="292"/>
      <c r="BDS45" s="292"/>
      <c r="BDT45" s="292"/>
      <c r="BDU45" s="291"/>
      <c r="BDV45" s="292"/>
      <c r="BDW45" s="292"/>
      <c r="BDX45" s="292"/>
      <c r="BDY45" s="291"/>
      <c r="BDZ45" s="292"/>
      <c r="BEA45" s="292"/>
      <c r="BEB45" s="292"/>
      <c r="BEC45" s="291"/>
      <c r="BED45" s="292"/>
      <c r="BEE45" s="292"/>
      <c r="BEF45" s="292"/>
      <c r="BEG45" s="291"/>
      <c r="BEH45" s="292"/>
      <c r="BEI45" s="292"/>
      <c r="BEJ45" s="292"/>
      <c r="BEK45" s="291"/>
      <c r="BEL45" s="292"/>
      <c r="BEM45" s="292"/>
      <c r="BEN45" s="292"/>
      <c r="BEO45" s="291"/>
      <c r="BEP45" s="292"/>
      <c r="BEQ45" s="292"/>
      <c r="BER45" s="292"/>
      <c r="BES45" s="291"/>
      <c r="BET45" s="292"/>
      <c r="BEU45" s="292"/>
      <c r="BEV45" s="292"/>
      <c r="BEW45" s="291"/>
      <c r="BEX45" s="292"/>
      <c r="BEY45" s="292"/>
      <c r="BEZ45" s="292"/>
      <c r="BFA45" s="291"/>
      <c r="BFB45" s="292"/>
      <c r="BFC45" s="292"/>
      <c r="BFD45" s="292"/>
      <c r="BFE45" s="291"/>
      <c r="BFF45" s="292"/>
      <c r="BFG45" s="292"/>
      <c r="BFH45" s="292"/>
      <c r="BFI45" s="291"/>
      <c r="BFJ45" s="292"/>
      <c r="BFK45" s="292"/>
      <c r="BFL45" s="292"/>
      <c r="BFM45" s="291"/>
      <c r="BFN45" s="292"/>
      <c r="BFO45" s="292"/>
      <c r="BFP45" s="292"/>
      <c r="BFQ45" s="291"/>
      <c r="BFR45" s="292"/>
      <c r="BFS45" s="292"/>
      <c r="BFT45" s="292"/>
      <c r="BFU45" s="291"/>
      <c r="BFV45" s="292"/>
      <c r="BFW45" s="292"/>
      <c r="BFX45" s="292"/>
      <c r="BFY45" s="291"/>
      <c r="BFZ45" s="292"/>
      <c r="BGA45" s="292"/>
      <c r="BGB45" s="292"/>
      <c r="BGC45" s="291"/>
      <c r="BGD45" s="292"/>
      <c r="BGE45" s="292"/>
      <c r="BGF45" s="292"/>
      <c r="BGG45" s="291"/>
      <c r="BGH45" s="292"/>
      <c r="BGI45" s="292"/>
      <c r="BGJ45" s="292"/>
      <c r="BGK45" s="291"/>
      <c r="BGL45" s="292"/>
      <c r="BGM45" s="292"/>
      <c r="BGN45" s="292"/>
      <c r="BGO45" s="291"/>
      <c r="BGP45" s="292"/>
      <c r="BGQ45" s="292"/>
      <c r="BGR45" s="292"/>
      <c r="BGS45" s="291"/>
      <c r="BGT45" s="292"/>
      <c r="BGU45" s="292"/>
      <c r="BGV45" s="292"/>
      <c r="BGW45" s="291"/>
      <c r="BGX45" s="292"/>
      <c r="BGY45" s="292"/>
      <c r="BGZ45" s="292"/>
      <c r="BHA45" s="291"/>
      <c r="BHB45" s="292"/>
      <c r="BHC45" s="292"/>
      <c r="BHD45" s="292"/>
      <c r="BHE45" s="291"/>
      <c r="BHF45" s="292"/>
      <c r="BHG45" s="292"/>
      <c r="BHH45" s="292"/>
      <c r="BHI45" s="291"/>
      <c r="BHJ45" s="292"/>
      <c r="BHK45" s="292"/>
      <c r="BHL45" s="292"/>
      <c r="BHM45" s="291"/>
      <c r="BHN45" s="292"/>
      <c r="BHO45" s="292"/>
      <c r="BHP45" s="292"/>
      <c r="BHQ45" s="291"/>
      <c r="BHR45" s="292"/>
      <c r="BHS45" s="292"/>
      <c r="BHT45" s="292"/>
      <c r="BHU45" s="291"/>
      <c r="BHV45" s="292"/>
      <c r="BHW45" s="292"/>
      <c r="BHX45" s="292"/>
      <c r="BHY45" s="291"/>
      <c r="BHZ45" s="292"/>
      <c r="BIA45" s="292"/>
      <c r="BIB45" s="292"/>
      <c r="BIC45" s="291"/>
      <c r="BID45" s="292"/>
      <c r="BIE45" s="292"/>
      <c r="BIF45" s="292"/>
      <c r="BIG45" s="291"/>
      <c r="BIH45" s="292"/>
      <c r="BII45" s="292"/>
      <c r="BIJ45" s="292"/>
      <c r="BIK45" s="291"/>
      <c r="BIL45" s="292"/>
      <c r="BIM45" s="292"/>
      <c r="BIN45" s="292"/>
      <c r="BIO45" s="291"/>
      <c r="BIP45" s="292"/>
      <c r="BIQ45" s="292"/>
      <c r="BIR45" s="292"/>
      <c r="BIS45" s="291"/>
      <c r="BIT45" s="292"/>
      <c r="BIU45" s="292"/>
      <c r="BIV45" s="292"/>
      <c r="BIW45" s="291"/>
      <c r="BIX45" s="292"/>
      <c r="BIY45" s="292"/>
      <c r="BIZ45" s="292"/>
      <c r="BJA45" s="291"/>
      <c r="BJB45" s="292"/>
      <c r="BJC45" s="292"/>
      <c r="BJD45" s="292"/>
      <c r="BJE45" s="291"/>
      <c r="BJF45" s="292"/>
      <c r="BJG45" s="292"/>
      <c r="BJH45" s="292"/>
      <c r="BJI45" s="291"/>
      <c r="BJJ45" s="292"/>
      <c r="BJK45" s="292"/>
      <c r="BJL45" s="292"/>
      <c r="BJM45" s="291"/>
      <c r="BJN45" s="292"/>
      <c r="BJO45" s="292"/>
      <c r="BJP45" s="292"/>
      <c r="BJQ45" s="291"/>
      <c r="BJR45" s="292"/>
      <c r="BJS45" s="292"/>
      <c r="BJT45" s="292"/>
      <c r="BJU45" s="291"/>
      <c r="BJV45" s="292"/>
      <c r="BJW45" s="292"/>
      <c r="BJX45" s="292"/>
      <c r="BJY45" s="291"/>
      <c r="BJZ45" s="292"/>
      <c r="BKA45" s="292"/>
      <c r="BKB45" s="292"/>
      <c r="BKC45" s="291"/>
      <c r="BKD45" s="292"/>
      <c r="BKE45" s="292"/>
      <c r="BKF45" s="292"/>
      <c r="BKG45" s="291"/>
      <c r="BKH45" s="292"/>
      <c r="BKI45" s="292"/>
      <c r="BKJ45" s="292"/>
      <c r="BKK45" s="291"/>
      <c r="BKL45" s="292"/>
      <c r="BKM45" s="292"/>
      <c r="BKN45" s="292"/>
      <c r="BKO45" s="291"/>
      <c r="BKP45" s="292"/>
      <c r="BKQ45" s="292"/>
      <c r="BKR45" s="292"/>
      <c r="BKS45" s="291"/>
      <c r="BKT45" s="292"/>
      <c r="BKU45" s="292"/>
      <c r="BKV45" s="292"/>
      <c r="BKW45" s="291"/>
      <c r="BKX45" s="292"/>
      <c r="BKY45" s="292"/>
      <c r="BKZ45" s="292"/>
      <c r="BLA45" s="291"/>
      <c r="BLB45" s="292"/>
      <c r="BLC45" s="292"/>
      <c r="BLD45" s="292"/>
      <c r="BLE45" s="291"/>
      <c r="BLF45" s="292"/>
      <c r="BLG45" s="292"/>
      <c r="BLH45" s="292"/>
      <c r="BLI45" s="291"/>
      <c r="BLJ45" s="292"/>
      <c r="BLK45" s="292"/>
      <c r="BLL45" s="292"/>
      <c r="BLM45" s="291"/>
      <c r="BLN45" s="292"/>
      <c r="BLO45" s="292"/>
      <c r="BLP45" s="292"/>
      <c r="BLQ45" s="291"/>
      <c r="BLR45" s="292"/>
      <c r="BLS45" s="292"/>
      <c r="BLT45" s="292"/>
      <c r="BLU45" s="291"/>
      <c r="BLV45" s="292"/>
      <c r="BLW45" s="292"/>
      <c r="BLX45" s="292"/>
      <c r="BLY45" s="291"/>
      <c r="BLZ45" s="292"/>
      <c r="BMA45" s="292"/>
      <c r="BMB45" s="292"/>
      <c r="BMC45" s="291"/>
      <c r="BMD45" s="292"/>
      <c r="BME45" s="292"/>
      <c r="BMF45" s="292"/>
      <c r="BMG45" s="291"/>
      <c r="BMH45" s="292"/>
      <c r="BMI45" s="292"/>
      <c r="BMJ45" s="292"/>
      <c r="BMK45" s="291"/>
      <c r="BML45" s="292"/>
      <c r="BMM45" s="292"/>
      <c r="BMN45" s="292"/>
      <c r="BMO45" s="291"/>
      <c r="BMP45" s="292"/>
      <c r="BMQ45" s="292"/>
      <c r="BMR45" s="292"/>
      <c r="BMS45" s="291"/>
      <c r="BMT45" s="292"/>
      <c r="BMU45" s="292"/>
      <c r="BMV45" s="292"/>
      <c r="BMW45" s="291"/>
      <c r="BMX45" s="292"/>
      <c r="BMY45" s="292"/>
      <c r="BMZ45" s="292"/>
      <c r="BNA45" s="291"/>
      <c r="BNB45" s="292"/>
      <c r="BNC45" s="292"/>
      <c r="BND45" s="292"/>
      <c r="BNE45" s="291"/>
      <c r="BNF45" s="292"/>
      <c r="BNG45" s="292"/>
      <c r="BNH45" s="292"/>
      <c r="BNI45" s="291"/>
      <c r="BNJ45" s="292"/>
      <c r="BNK45" s="292"/>
      <c r="BNL45" s="292"/>
      <c r="BNM45" s="291"/>
      <c r="BNN45" s="292"/>
      <c r="BNO45" s="292"/>
      <c r="BNP45" s="292"/>
      <c r="BNQ45" s="291"/>
      <c r="BNR45" s="292"/>
      <c r="BNS45" s="292"/>
      <c r="BNT45" s="292"/>
      <c r="BNU45" s="291"/>
      <c r="BNV45" s="292"/>
      <c r="BNW45" s="292"/>
      <c r="BNX45" s="292"/>
      <c r="BNY45" s="291"/>
      <c r="BNZ45" s="292"/>
      <c r="BOA45" s="292"/>
      <c r="BOB45" s="292"/>
      <c r="BOC45" s="291"/>
      <c r="BOD45" s="292"/>
      <c r="BOE45" s="292"/>
      <c r="BOF45" s="292"/>
      <c r="BOG45" s="291"/>
      <c r="BOH45" s="292"/>
      <c r="BOI45" s="292"/>
      <c r="BOJ45" s="292"/>
      <c r="BOK45" s="291"/>
      <c r="BOL45" s="292"/>
      <c r="BOM45" s="292"/>
      <c r="BON45" s="292"/>
      <c r="BOO45" s="291"/>
      <c r="BOP45" s="292"/>
      <c r="BOQ45" s="292"/>
      <c r="BOR45" s="292"/>
      <c r="BOS45" s="291"/>
      <c r="BOT45" s="292"/>
      <c r="BOU45" s="292"/>
      <c r="BOV45" s="292"/>
      <c r="BOW45" s="291"/>
      <c r="BOX45" s="292"/>
      <c r="BOY45" s="292"/>
      <c r="BOZ45" s="292"/>
      <c r="BPA45" s="291"/>
      <c r="BPB45" s="292"/>
      <c r="BPC45" s="292"/>
      <c r="BPD45" s="292"/>
      <c r="BPE45" s="291"/>
      <c r="BPF45" s="292"/>
      <c r="BPG45" s="292"/>
      <c r="BPH45" s="292"/>
      <c r="BPI45" s="291"/>
      <c r="BPJ45" s="292"/>
      <c r="BPK45" s="292"/>
      <c r="BPL45" s="292"/>
      <c r="BPM45" s="291"/>
      <c r="BPN45" s="292"/>
      <c r="BPO45" s="292"/>
      <c r="BPP45" s="292"/>
      <c r="BPQ45" s="291"/>
      <c r="BPR45" s="292"/>
      <c r="BPS45" s="292"/>
      <c r="BPT45" s="292"/>
      <c r="BPU45" s="291"/>
      <c r="BPV45" s="292"/>
      <c r="BPW45" s="292"/>
      <c r="BPX45" s="292"/>
      <c r="BPY45" s="291"/>
      <c r="BPZ45" s="292"/>
      <c r="BQA45" s="292"/>
      <c r="BQB45" s="292"/>
      <c r="BQC45" s="291"/>
      <c r="BQD45" s="292"/>
      <c r="BQE45" s="292"/>
      <c r="BQF45" s="292"/>
      <c r="BQG45" s="291"/>
      <c r="BQH45" s="292"/>
      <c r="BQI45" s="292"/>
      <c r="BQJ45" s="292"/>
      <c r="BQK45" s="291"/>
      <c r="BQL45" s="292"/>
      <c r="BQM45" s="292"/>
      <c r="BQN45" s="292"/>
      <c r="BQO45" s="291"/>
      <c r="BQP45" s="292"/>
      <c r="BQQ45" s="292"/>
      <c r="BQR45" s="292"/>
      <c r="BQS45" s="291"/>
      <c r="BQT45" s="292"/>
      <c r="BQU45" s="292"/>
      <c r="BQV45" s="292"/>
      <c r="BQW45" s="291"/>
      <c r="BQX45" s="292"/>
      <c r="BQY45" s="292"/>
      <c r="BQZ45" s="292"/>
      <c r="BRA45" s="291"/>
      <c r="BRB45" s="292"/>
      <c r="BRC45" s="292"/>
      <c r="BRD45" s="292"/>
      <c r="BRE45" s="291"/>
      <c r="BRF45" s="292"/>
      <c r="BRG45" s="292"/>
      <c r="BRH45" s="292"/>
      <c r="BRI45" s="291"/>
      <c r="BRJ45" s="292"/>
      <c r="BRK45" s="292"/>
      <c r="BRL45" s="292"/>
      <c r="BRM45" s="291"/>
      <c r="BRN45" s="292"/>
      <c r="BRO45" s="292"/>
      <c r="BRP45" s="292"/>
      <c r="BRQ45" s="291"/>
      <c r="BRR45" s="292"/>
      <c r="BRS45" s="292"/>
      <c r="BRT45" s="292"/>
      <c r="BRU45" s="291"/>
      <c r="BRV45" s="292"/>
      <c r="BRW45" s="292"/>
      <c r="BRX45" s="292"/>
      <c r="BRY45" s="291"/>
      <c r="BRZ45" s="292"/>
      <c r="BSA45" s="292"/>
      <c r="BSB45" s="292"/>
      <c r="BSC45" s="291"/>
      <c r="BSD45" s="292"/>
      <c r="BSE45" s="292"/>
      <c r="BSF45" s="292"/>
      <c r="BSG45" s="291"/>
      <c r="BSH45" s="292"/>
      <c r="BSI45" s="292"/>
      <c r="BSJ45" s="292"/>
      <c r="BSK45" s="291"/>
      <c r="BSL45" s="292"/>
      <c r="BSM45" s="292"/>
      <c r="BSN45" s="292"/>
      <c r="BSO45" s="291"/>
      <c r="BSP45" s="292"/>
      <c r="BSQ45" s="292"/>
      <c r="BSR45" s="292"/>
      <c r="BSS45" s="291"/>
      <c r="BST45" s="292"/>
      <c r="BSU45" s="292"/>
      <c r="BSV45" s="292"/>
      <c r="BSW45" s="291"/>
      <c r="BSX45" s="292"/>
      <c r="BSY45" s="292"/>
      <c r="BSZ45" s="292"/>
      <c r="BTA45" s="291"/>
      <c r="BTB45" s="292"/>
      <c r="BTC45" s="292"/>
      <c r="BTD45" s="292"/>
      <c r="BTE45" s="291"/>
      <c r="BTF45" s="292"/>
      <c r="BTG45" s="292"/>
      <c r="BTH45" s="292"/>
      <c r="BTI45" s="291"/>
      <c r="BTJ45" s="292"/>
      <c r="BTK45" s="292"/>
      <c r="BTL45" s="292"/>
      <c r="BTM45" s="291"/>
      <c r="BTN45" s="292"/>
      <c r="BTO45" s="292"/>
      <c r="BTP45" s="292"/>
      <c r="BTQ45" s="291"/>
      <c r="BTR45" s="292"/>
      <c r="BTS45" s="292"/>
      <c r="BTT45" s="292"/>
      <c r="BTU45" s="291"/>
      <c r="BTV45" s="292"/>
      <c r="BTW45" s="292"/>
      <c r="BTX45" s="292"/>
      <c r="BTY45" s="291"/>
      <c r="BTZ45" s="292"/>
      <c r="BUA45" s="292"/>
      <c r="BUB45" s="292"/>
      <c r="BUC45" s="291"/>
      <c r="BUD45" s="292"/>
      <c r="BUE45" s="292"/>
      <c r="BUF45" s="292"/>
      <c r="BUG45" s="291"/>
      <c r="BUH45" s="292"/>
      <c r="BUI45" s="292"/>
      <c r="BUJ45" s="292"/>
      <c r="BUK45" s="291"/>
      <c r="BUL45" s="292"/>
      <c r="BUM45" s="292"/>
      <c r="BUN45" s="292"/>
      <c r="BUO45" s="291"/>
      <c r="BUP45" s="292"/>
      <c r="BUQ45" s="292"/>
      <c r="BUR45" s="292"/>
      <c r="BUS45" s="291"/>
      <c r="BUT45" s="292"/>
      <c r="BUU45" s="292"/>
      <c r="BUV45" s="292"/>
      <c r="BUW45" s="291"/>
      <c r="BUX45" s="292"/>
      <c r="BUY45" s="292"/>
      <c r="BUZ45" s="292"/>
      <c r="BVA45" s="291"/>
      <c r="BVB45" s="292"/>
      <c r="BVC45" s="292"/>
      <c r="BVD45" s="292"/>
      <c r="BVE45" s="291"/>
      <c r="BVF45" s="292"/>
      <c r="BVG45" s="292"/>
      <c r="BVH45" s="292"/>
      <c r="BVI45" s="291"/>
      <c r="BVJ45" s="292"/>
      <c r="BVK45" s="292"/>
      <c r="BVL45" s="292"/>
      <c r="BVM45" s="291"/>
      <c r="BVN45" s="292"/>
      <c r="BVO45" s="292"/>
      <c r="BVP45" s="292"/>
      <c r="BVQ45" s="291"/>
      <c r="BVR45" s="292"/>
      <c r="BVS45" s="292"/>
      <c r="BVT45" s="292"/>
      <c r="BVU45" s="291"/>
      <c r="BVV45" s="292"/>
      <c r="BVW45" s="292"/>
      <c r="BVX45" s="292"/>
      <c r="BVY45" s="291"/>
      <c r="BVZ45" s="292"/>
      <c r="BWA45" s="292"/>
      <c r="BWB45" s="292"/>
      <c r="BWC45" s="291"/>
      <c r="BWD45" s="292"/>
      <c r="BWE45" s="292"/>
      <c r="BWF45" s="292"/>
      <c r="BWG45" s="291"/>
      <c r="BWH45" s="292"/>
      <c r="BWI45" s="292"/>
      <c r="BWJ45" s="292"/>
      <c r="BWK45" s="291"/>
      <c r="BWL45" s="292"/>
      <c r="BWM45" s="292"/>
      <c r="BWN45" s="292"/>
      <c r="BWO45" s="291"/>
      <c r="BWP45" s="292"/>
      <c r="BWQ45" s="292"/>
      <c r="BWR45" s="292"/>
      <c r="BWS45" s="291"/>
      <c r="BWT45" s="292"/>
      <c r="BWU45" s="292"/>
      <c r="BWV45" s="292"/>
      <c r="BWW45" s="291"/>
      <c r="BWX45" s="292"/>
      <c r="BWY45" s="292"/>
      <c r="BWZ45" s="292"/>
      <c r="BXA45" s="291"/>
      <c r="BXB45" s="292"/>
      <c r="BXC45" s="292"/>
      <c r="BXD45" s="292"/>
      <c r="BXE45" s="291"/>
      <c r="BXF45" s="292"/>
      <c r="BXG45" s="292"/>
      <c r="BXH45" s="292"/>
      <c r="BXI45" s="291"/>
      <c r="BXJ45" s="292"/>
      <c r="BXK45" s="292"/>
      <c r="BXL45" s="292"/>
      <c r="BXM45" s="291"/>
      <c r="BXN45" s="292"/>
      <c r="BXO45" s="292"/>
      <c r="BXP45" s="292"/>
      <c r="BXQ45" s="291"/>
      <c r="BXR45" s="292"/>
      <c r="BXS45" s="292"/>
      <c r="BXT45" s="292"/>
      <c r="BXU45" s="291"/>
      <c r="BXV45" s="292"/>
      <c r="BXW45" s="292"/>
      <c r="BXX45" s="292"/>
      <c r="BXY45" s="291"/>
      <c r="BXZ45" s="292"/>
      <c r="BYA45" s="292"/>
      <c r="BYB45" s="292"/>
      <c r="BYC45" s="291"/>
      <c r="BYD45" s="292"/>
      <c r="BYE45" s="292"/>
      <c r="BYF45" s="292"/>
      <c r="BYG45" s="291"/>
      <c r="BYH45" s="292"/>
      <c r="BYI45" s="292"/>
      <c r="BYJ45" s="292"/>
      <c r="BYK45" s="291"/>
      <c r="BYL45" s="292"/>
      <c r="BYM45" s="292"/>
      <c r="BYN45" s="292"/>
      <c r="BYO45" s="291"/>
      <c r="BYP45" s="292"/>
      <c r="BYQ45" s="292"/>
      <c r="BYR45" s="292"/>
      <c r="BYS45" s="291"/>
      <c r="BYT45" s="292"/>
      <c r="BYU45" s="292"/>
      <c r="BYV45" s="292"/>
      <c r="BYW45" s="291"/>
      <c r="BYX45" s="292"/>
      <c r="BYY45" s="292"/>
      <c r="BYZ45" s="292"/>
      <c r="BZA45" s="291"/>
      <c r="BZB45" s="292"/>
      <c r="BZC45" s="292"/>
      <c r="BZD45" s="292"/>
      <c r="BZE45" s="291"/>
      <c r="BZF45" s="292"/>
      <c r="BZG45" s="292"/>
      <c r="BZH45" s="292"/>
      <c r="BZI45" s="291"/>
      <c r="BZJ45" s="292"/>
      <c r="BZK45" s="292"/>
      <c r="BZL45" s="292"/>
      <c r="BZM45" s="291"/>
      <c r="BZN45" s="292"/>
      <c r="BZO45" s="292"/>
      <c r="BZP45" s="292"/>
      <c r="BZQ45" s="291"/>
      <c r="BZR45" s="292"/>
      <c r="BZS45" s="292"/>
      <c r="BZT45" s="292"/>
      <c r="BZU45" s="291"/>
      <c r="BZV45" s="292"/>
      <c r="BZW45" s="292"/>
      <c r="BZX45" s="292"/>
      <c r="BZY45" s="291"/>
      <c r="BZZ45" s="292"/>
      <c r="CAA45" s="292"/>
      <c r="CAB45" s="292"/>
      <c r="CAC45" s="291"/>
      <c r="CAD45" s="292"/>
      <c r="CAE45" s="292"/>
      <c r="CAF45" s="292"/>
      <c r="CAG45" s="291"/>
      <c r="CAH45" s="292"/>
      <c r="CAI45" s="292"/>
      <c r="CAJ45" s="292"/>
      <c r="CAK45" s="291"/>
      <c r="CAL45" s="292"/>
      <c r="CAM45" s="292"/>
      <c r="CAN45" s="292"/>
      <c r="CAO45" s="291"/>
      <c r="CAP45" s="292"/>
      <c r="CAQ45" s="292"/>
      <c r="CAR45" s="292"/>
      <c r="CAS45" s="291"/>
      <c r="CAT45" s="292"/>
      <c r="CAU45" s="292"/>
      <c r="CAV45" s="292"/>
      <c r="CAW45" s="291"/>
      <c r="CAX45" s="292"/>
      <c r="CAY45" s="292"/>
      <c r="CAZ45" s="292"/>
      <c r="CBA45" s="291"/>
      <c r="CBB45" s="292"/>
      <c r="CBC45" s="292"/>
      <c r="CBD45" s="292"/>
      <c r="CBE45" s="291"/>
      <c r="CBF45" s="292"/>
      <c r="CBG45" s="292"/>
      <c r="CBH45" s="292"/>
      <c r="CBI45" s="291"/>
      <c r="CBJ45" s="292"/>
      <c r="CBK45" s="292"/>
      <c r="CBL45" s="292"/>
      <c r="CBM45" s="291"/>
      <c r="CBN45" s="292"/>
      <c r="CBO45" s="292"/>
      <c r="CBP45" s="292"/>
      <c r="CBQ45" s="291"/>
      <c r="CBR45" s="292"/>
      <c r="CBS45" s="292"/>
      <c r="CBT45" s="292"/>
      <c r="CBU45" s="291"/>
      <c r="CBV45" s="292"/>
      <c r="CBW45" s="292"/>
      <c r="CBX45" s="292"/>
      <c r="CBY45" s="291"/>
      <c r="CBZ45" s="292"/>
      <c r="CCA45" s="292"/>
      <c r="CCB45" s="292"/>
      <c r="CCC45" s="291"/>
      <c r="CCD45" s="292"/>
      <c r="CCE45" s="292"/>
      <c r="CCF45" s="292"/>
      <c r="CCG45" s="291"/>
      <c r="CCH45" s="292"/>
      <c r="CCI45" s="292"/>
      <c r="CCJ45" s="292"/>
      <c r="CCK45" s="291"/>
      <c r="CCL45" s="292"/>
      <c r="CCM45" s="292"/>
      <c r="CCN45" s="292"/>
      <c r="CCO45" s="291"/>
      <c r="CCP45" s="292"/>
      <c r="CCQ45" s="292"/>
      <c r="CCR45" s="292"/>
      <c r="CCS45" s="291"/>
      <c r="CCT45" s="292"/>
      <c r="CCU45" s="292"/>
      <c r="CCV45" s="292"/>
      <c r="CCW45" s="291"/>
      <c r="CCX45" s="292"/>
      <c r="CCY45" s="292"/>
      <c r="CCZ45" s="292"/>
      <c r="CDA45" s="291"/>
      <c r="CDB45" s="292"/>
      <c r="CDC45" s="292"/>
      <c r="CDD45" s="292"/>
      <c r="CDE45" s="291"/>
      <c r="CDF45" s="292"/>
      <c r="CDG45" s="292"/>
      <c r="CDH45" s="292"/>
      <c r="CDI45" s="291"/>
      <c r="CDJ45" s="292"/>
      <c r="CDK45" s="292"/>
      <c r="CDL45" s="292"/>
      <c r="CDM45" s="291"/>
      <c r="CDN45" s="292"/>
      <c r="CDO45" s="292"/>
      <c r="CDP45" s="292"/>
      <c r="CDQ45" s="291"/>
      <c r="CDR45" s="292"/>
      <c r="CDS45" s="292"/>
      <c r="CDT45" s="292"/>
      <c r="CDU45" s="291"/>
      <c r="CDV45" s="292"/>
      <c r="CDW45" s="292"/>
      <c r="CDX45" s="292"/>
      <c r="CDY45" s="291"/>
      <c r="CDZ45" s="292"/>
      <c r="CEA45" s="292"/>
      <c r="CEB45" s="292"/>
      <c r="CEC45" s="291"/>
      <c r="CED45" s="292"/>
      <c r="CEE45" s="292"/>
      <c r="CEF45" s="292"/>
      <c r="CEG45" s="291"/>
      <c r="CEH45" s="292"/>
      <c r="CEI45" s="292"/>
      <c r="CEJ45" s="292"/>
      <c r="CEK45" s="291"/>
      <c r="CEL45" s="292"/>
      <c r="CEM45" s="292"/>
      <c r="CEN45" s="292"/>
      <c r="CEO45" s="291"/>
      <c r="CEP45" s="292"/>
      <c r="CEQ45" s="292"/>
      <c r="CER45" s="292"/>
      <c r="CES45" s="291"/>
      <c r="CET45" s="292"/>
      <c r="CEU45" s="292"/>
      <c r="CEV45" s="292"/>
      <c r="CEW45" s="291"/>
      <c r="CEX45" s="292"/>
      <c r="CEY45" s="292"/>
      <c r="CEZ45" s="292"/>
      <c r="CFA45" s="291"/>
      <c r="CFB45" s="292"/>
      <c r="CFC45" s="292"/>
      <c r="CFD45" s="292"/>
      <c r="CFE45" s="291"/>
      <c r="CFF45" s="292"/>
      <c r="CFG45" s="292"/>
      <c r="CFH45" s="292"/>
      <c r="CFI45" s="291"/>
      <c r="CFJ45" s="292"/>
      <c r="CFK45" s="292"/>
      <c r="CFL45" s="292"/>
      <c r="CFM45" s="291"/>
      <c r="CFN45" s="292"/>
      <c r="CFO45" s="292"/>
      <c r="CFP45" s="292"/>
      <c r="CFQ45" s="291"/>
      <c r="CFR45" s="292"/>
      <c r="CFS45" s="292"/>
      <c r="CFT45" s="292"/>
      <c r="CFU45" s="291"/>
      <c r="CFV45" s="292"/>
      <c r="CFW45" s="292"/>
      <c r="CFX45" s="292"/>
      <c r="CFY45" s="291"/>
      <c r="CFZ45" s="292"/>
      <c r="CGA45" s="292"/>
      <c r="CGB45" s="292"/>
      <c r="CGC45" s="291"/>
      <c r="CGD45" s="292"/>
      <c r="CGE45" s="292"/>
      <c r="CGF45" s="292"/>
      <c r="CGG45" s="291"/>
      <c r="CGH45" s="292"/>
      <c r="CGI45" s="292"/>
      <c r="CGJ45" s="292"/>
      <c r="CGK45" s="291"/>
      <c r="CGL45" s="292"/>
      <c r="CGM45" s="292"/>
      <c r="CGN45" s="292"/>
      <c r="CGO45" s="291"/>
      <c r="CGP45" s="292"/>
      <c r="CGQ45" s="292"/>
      <c r="CGR45" s="292"/>
      <c r="CGS45" s="291"/>
      <c r="CGT45" s="292"/>
      <c r="CGU45" s="292"/>
      <c r="CGV45" s="292"/>
      <c r="CGW45" s="291"/>
      <c r="CGX45" s="292"/>
      <c r="CGY45" s="292"/>
      <c r="CGZ45" s="292"/>
      <c r="CHA45" s="291"/>
      <c r="CHB45" s="292"/>
      <c r="CHC45" s="292"/>
      <c r="CHD45" s="292"/>
      <c r="CHE45" s="291"/>
      <c r="CHF45" s="292"/>
      <c r="CHG45" s="292"/>
      <c r="CHH45" s="292"/>
      <c r="CHI45" s="291"/>
      <c r="CHJ45" s="292"/>
      <c r="CHK45" s="292"/>
      <c r="CHL45" s="292"/>
      <c r="CHM45" s="291"/>
      <c r="CHN45" s="292"/>
      <c r="CHO45" s="292"/>
      <c r="CHP45" s="292"/>
      <c r="CHQ45" s="291"/>
      <c r="CHR45" s="292"/>
      <c r="CHS45" s="292"/>
      <c r="CHT45" s="292"/>
      <c r="CHU45" s="291"/>
      <c r="CHV45" s="292"/>
      <c r="CHW45" s="292"/>
      <c r="CHX45" s="292"/>
      <c r="CHY45" s="291"/>
      <c r="CHZ45" s="292"/>
      <c r="CIA45" s="292"/>
      <c r="CIB45" s="292"/>
      <c r="CIC45" s="291"/>
      <c r="CID45" s="292"/>
      <c r="CIE45" s="292"/>
      <c r="CIF45" s="292"/>
      <c r="CIG45" s="291"/>
      <c r="CIH45" s="292"/>
      <c r="CII45" s="292"/>
      <c r="CIJ45" s="292"/>
      <c r="CIK45" s="291"/>
      <c r="CIL45" s="292"/>
      <c r="CIM45" s="292"/>
      <c r="CIN45" s="292"/>
      <c r="CIO45" s="291"/>
      <c r="CIP45" s="292"/>
      <c r="CIQ45" s="292"/>
      <c r="CIR45" s="292"/>
      <c r="CIS45" s="291"/>
      <c r="CIT45" s="292"/>
      <c r="CIU45" s="292"/>
      <c r="CIV45" s="292"/>
      <c r="CIW45" s="291"/>
      <c r="CIX45" s="292"/>
      <c r="CIY45" s="292"/>
      <c r="CIZ45" s="292"/>
      <c r="CJA45" s="291"/>
      <c r="CJB45" s="292"/>
      <c r="CJC45" s="292"/>
      <c r="CJD45" s="292"/>
      <c r="CJE45" s="291"/>
      <c r="CJF45" s="292"/>
      <c r="CJG45" s="292"/>
      <c r="CJH45" s="292"/>
      <c r="CJI45" s="291"/>
      <c r="CJJ45" s="292"/>
      <c r="CJK45" s="292"/>
      <c r="CJL45" s="292"/>
      <c r="CJM45" s="291"/>
      <c r="CJN45" s="292"/>
      <c r="CJO45" s="292"/>
      <c r="CJP45" s="292"/>
      <c r="CJQ45" s="291"/>
      <c r="CJR45" s="292"/>
      <c r="CJS45" s="292"/>
      <c r="CJT45" s="292"/>
      <c r="CJU45" s="291"/>
      <c r="CJV45" s="292"/>
      <c r="CJW45" s="292"/>
      <c r="CJX45" s="292"/>
      <c r="CJY45" s="291"/>
      <c r="CJZ45" s="292"/>
      <c r="CKA45" s="292"/>
      <c r="CKB45" s="292"/>
      <c r="CKC45" s="291"/>
      <c r="CKD45" s="292"/>
      <c r="CKE45" s="292"/>
      <c r="CKF45" s="292"/>
      <c r="CKG45" s="291"/>
      <c r="CKH45" s="292"/>
      <c r="CKI45" s="292"/>
      <c r="CKJ45" s="292"/>
      <c r="CKK45" s="291"/>
      <c r="CKL45" s="292"/>
      <c r="CKM45" s="292"/>
      <c r="CKN45" s="292"/>
      <c r="CKO45" s="291"/>
      <c r="CKP45" s="292"/>
      <c r="CKQ45" s="292"/>
      <c r="CKR45" s="292"/>
      <c r="CKS45" s="291"/>
      <c r="CKT45" s="292"/>
      <c r="CKU45" s="292"/>
      <c r="CKV45" s="292"/>
      <c r="CKW45" s="291"/>
      <c r="CKX45" s="292"/>
      <c r="CKY45" s="292"/>
      <c r="CKZ45" s="292"/>
      <c r="CLA45" s="291"/>
      <c r="CLB45" s="292"/>
      <c r="CLC45" s="292"/>
      <c r="CLD45" s="292"/>
      <c r="CLE45" s="291"/>
      <c r="CLF45" s="292"/>
      <c r="CLG45" s="292"/>
      <c r="CLH45" s="292"/>
      <c r="CLI45" s="291"/>
      <c r="CLJ45" s="292"/>
      <c r="CLK45" s="292"/>
      <c r="CLL45" s="292"/>
      <c r="CLM45" s="291"/>
      <c r="CLN45" s="292"/>
      <c r="CLO45" s="292"/>
      <c r="CLP45" s="292"/>
      <c r="CLQ45" s="291"/>
      <c r="CLR45" s="292"/>
      <c r="CLS45" s="292"/>
      <c r="CLT45" s="292"/>
      <c r="CLU45" s="291"/>
      <c r="CLV45" s="292"/>
      <c r="CLW45" s="292"/>
      <c r="CLX45" s="292"/>
      <c r="CLY45" s="291"/>
      <c r="CLZ45" s="292"/>
      <c r="CMA45" s="292"/>
      <c r="CMB45" s="292"/>
      <c r="CMC45" s="291"/>
      <c r="CMD45" s="292"/>
      <c r="CME45" s="292"/>
      <c r="CMF45" s="292"/>
      <c r="CMG45" s="291"/>
      <c r="CMH45" s="292"/>
      <c r="CMI45" s="292"/>
      <c r="CMJ45" s="292"/>
      <c r="CMK45" s="291"/>
      <c r="CML45" s="292"/>
      <c r="CMM45" s="292"/>
      <c r="CMN45" s="292"/>
      <c r="CMO45" s="291"/>
      <c r="CMP45" s="292"/>
      <c r="CMQ45" s="292"/>
      <c r="CMR45" s="292"/>
      <c r="CMS45" s="291"/>
      <c r="CMT45" s="292"/>
      <c r="CMU45" s="292"/>
      <c r="CMV45" s="292"/>
      <c r="CMW45" s="291"/>
      <c r="CMX45" s="292"/>
      <c r="CMY45" s="292"/>
      <c r="CMZ45" s="292"/>
      <c r="CNA45" s="291"/>
      <c r="CNB45" s="292"/>
      <c r="CNC45" s="292"/>
      <c r="CND45" s="292"/>
      <c r="CNE45" s="291"/>
      <c r="CNF45" s="292"/>
      <c r="CNG45" s="292"/>
      <c r="CNH45" s="292"/>
      <c r="CNI45" s="291"/>
      <c r="CNJ45" s="292"/>
      <c r="CNK45" s="292"/>
      <c r="CNL45" s="292"/>
      <c r="CNM45" s="291"/>
      <c r="CNN45" s="292"/>
      <c r="CNO45" s="292"/>
      <c r="CNP45" s="292"/>
      <c r="CNQ45" s="291"/>
      <c r="CNR45" s="292"/>
      <c r="CNS45" s="292"/>
      <c r="CNT45" s="292"/>
      <c r="CNU45" s="291"/>
      <c r="CNV45" s="292"/>
      <c r="CNW45" s="292"/>
      <c r="CNX45" s="292"/>
      <c r="CNY45" s="291"/>
      <c r="CNZ45" s="292"/>
      <c r="COA45" s="292"/>
      <c r="COB45" s="292"/>
      <c r="COC45" s="291"/>
      <c r="COD45" s="292"/>
      <c r="COE45" s="292"/>
      <c r="COF45" s="292"/>
      <c r="COG45" s="291"/>
      <c r="COH45" s="292"/>
      <c r="COI45" s="292"/>
      <c r="COJ45" s="292"/>
      <c r="COK45" s="291"/>
      <c r="COL45" s="292"/>
      <c r="COM45" s="292"/>
      <c r="CON45" s="292"/>
      <c r="COO45" s="291"/>
      <c r="COP45" s="292"/>
      <c r="COQ45" s="292"/>
      <c r="COR45" s="292"/>
      <c r="COS45" s="291"/>
      <c r="COT45" s="292"/>
      <c r="COU45" s="292"/>
      <c r="COV45" s="292"/>
      <c r="COW45" s="291"/>
      <c r="COX45" s="292"/>
      <c r="COY45" s="292"/>
      <c r="COZ45" s="292"/>
      <c r="CPA45" s="291"/>
      <c r="CPB45" s="292"/>
      <c r="CPC45" s="292"/>
      <c r="CPD45" s="292"/>
      <c r="CPE45" s="291"/>
      <c r="CPF45" s="292"/>
      <c r="CPG45" s="292"/>
      <c r="CPH45" s="292"/>
      <c r="CPI45" s="291"/>
      <c r="CPJ45" s="292"/>
      <c r="CPK45" s="292"/>
      <c r="CPL45" s="292"/>
      <c r="CPM45" s="291"/>
      <c r="CPN45" s="292"/>
      <c r="CPO45" s="292"/>
      <c r="CPP45" s="292"/>
      <c r="CPQ45" s="291"/>
      <c r="CPR45" s="292"/>
      <c r="CPS45" s="292"/>
      <c r="CPT45" s="292"/>
      <c r="CPU45" s="291"/>
      <c r="CPV45" s="292"/>
      <c r="CPW45" s="292"/>
      <c r="CPX45" s="292"/>
      <c r="CPY45" s="291"/>
      <c r="CPZ45" s="292"/>
      <c r="CQA45" s="292"/>
      <c r="CQB45" s="292"/>
      <c r="CQC45" s="291"/>
      <c r="CQD45" s="292"/>
      <c r="CQE45" s="292"/>
      <c r="CQF45" s="292"/>
      <c r="CQG45" s="291"/>
      <c r="CQH45" s="292"/>
      <c r="CQI45" s="292"/>
      <c r="CQJ45" s="292"/>
      <c r="CQK45" s="291"/>
      <c r="CQL45" s="292"/>
      <c r="CQM45" s="292"/>
      <c r="CQN45" s="292"/>
      <c r="CQO45" s="291"/>
      <c r="CQP45" s="292"/>
      <c r="CQQ45" s="292"/>
      <c r="CQR45" s="292"/>
      <c r="CQS45" s="291"/>
      <c r="CQT45" s="292"/>
      <c r="CQU45" s="292"/>
      <c r="CQV45" s="292"/>
      <c r="CQW45" s="291"/>
      <c r="CQX45" s="292"/>
      <c r="CQY45" s="292"/>
      <c r="CQZ45" s="292"/>
      <c r="CRA45" s="291"/>
      <c r="CRB45" s="292"/>
      <c r="CRC45" s="292"/>
      <c r="CRD45" s="292"/>
      <c r="CRE45" s="291"/>
      <c r="CRF45" s="292"/>
      <c r="CRG45" s="292"/>
      <c r="CRH45" s="292"/>
      <c r="CRI45" s="291"/>
      <c r="CRJ45" s="292"/>
      <c r="CRK45" s="292"/>
      <c r="CRL45" s="292"/>
      <c r="CRM45" s="291"/>
      <c r="CRN45" s="292"/>
      <c r="CRO45" s="292"/>
      <c r="CRP45" s="292"/>
      <c r="CRQ45" s="291"/>
      <c r="CRR45" s="292"/>
      <c r="CRS45" s="292"/>
      <c r="CRT45" s="292"/>
      <c r="CRU45" s="291"/>
      <c r="CRV45" s="292"/>
      <c r="CRW45" s="292"/>
      <c r="CRX45" s="292"/>
      <c r="CRY45" s="291"/>
      <c r="CRZ45" s="292"/>
      <c r="CSA45" s="292"/>
      <c r="CSB45" s="292"/>
      <c r="CSC45" s="291"/>
      <c r="CSD45" s="292"/>
      <c r="CSE45" s="292"/>
      <c r="CSF45" s="292"/>
      <c r="CSG45" s="291"/>
      <c r="CSH45" s="292"/>
      <c r="CSI45" s="292"/>
      <c r="CSJ45" s="292"/>
      <c r="CSK45" s="291"/>
      <c r="CSL45" s="292"/>
      <c r="CSM45" s="292"/>
      <c r="CSN45" s="292"/>
      <c r="CSO45" s="291"/>
      <c r="CSP45" s="292"/>
      <c r="CSQ45" s="292"/>
      <c r="CSR45" s="292"/>
      <c r="CSS45" s="291"/>
      <c r="CST45" s="292"/>
      <c r="CSU45" s="292"/>
      <c r="CSV45" s="292"/>
      <c r="CSW45" s="291"/>
      <c r="CSX45" s="292"/>
      <c r="CSY45" s="292"/>
      <c r="CSZ45" s="292"/>
      <c r="CTA45" s="291"/>
      <c r="CTB45" s="292"/>
      <c r="CTC45" s="292"/>
      <c r="CTD45" s="292"/>
      <c r="CTE45" s="291"/>
      <c r="CTF45" s="292"/>
      <c r="CTG45" s="292"/>
      <c r="CTH45" s="292"/>
      <c r="CTI45" s="291"/>
      <c r="CTJ45" s="292"/>
      <c r="CTK45" s="292"/>
      <c r="CTL45" s="292"/>
      <c r="CTM45" s="291"/>
      <c r="CTN45" s="292"/>
      <c r="CTO45" s="292"/>
      <c r="CTP45" s="292"/>
      <c r="CTQ45" s="291"/>
      <c r="CTR45" s="292"/>
      <c r="CTS45" s="292"/>
      <c r="CTT45" s="292"/>
      <c r="CTU45" s="291"/>
      <c r="CTV45" s="292"/>
      <c r="CTW45" s="292"/>
      <c r="CTX45" s="292"/>
      <c r="CTY45" s="291"/>
      <c r="CTZ45" s="292"/>
      <c r="CUA45" s="292"/>
      <c r="CUB45" s="292"/>
      <c r="CUC45" s="291"/>
      <c r="CUD45" s="292"/>
      <c r="CUE45" s="292"/>
      <c r="CUF45" s="292"/>
      <c r="CUG45" s="291"/>
      <c r="CUH45" s="292"/>
      <c r="CUI45" s="292"/>
      <c r="CUJ45" s="292"/>
      <c r="CUK45" s="291"/>
      <c r="CUL45" s="292"/>
      <c r="CUM45" s="292"/>
      <c r="CUN45" s="292"/>
      <c r="CUO45" s="291"/>
      <c r="CUP45" s="292"/>
      <c r="CUQ45" s="292"/>
      <c r="CUR45" s="292"/>
      <c r="CUS45" s="291"/>
      <c r="CUT45" s="292"/>
      <c r="CUU45" s="292"/>
      <c r="CUV45" s="292"/>
      <c r="CUW45" s="291"/>
      <c r="CUX45" s="292"/>
      <c r="CUY45" s="292"/>
      <c r="CUZ45" s="292"/>
      <c r="CVA45" s="291"/>
      <c r="CVB45" s="292"/>
      <c r="CVC45" s="292"/>
      <c r="CVD45" s="292"/>
      <c r="CVE45" s="291"/>
      <c r="CVF45" s="292"/>
      <c r="CVG45" s="292"/>
      <c r="CVH45" s="292"/>
      <c r="CVI45" s="291"/>
      <c r="CVJ45" s="292"/>
      <c r="CVK45" s="292"/>
      <c r="CVL45" s="292"/>
      <c r="CVM45" s="291"/>
      <c r="CVN45" s="292"/>
      <c r="CVO45" s="292"/>
      <c r="CVP45" s="292"/>
      <c r="CVQ45" s="291"/>
      <c r="CVR45" s="292"/>
      <c r="CVS45" s="292"/>
      <c r="CVT45" s="292"/>
      <c r="CVU45" s="291"/>
      <c r="CVV45" s="292"/>
      <c r="CVW45" s="292"/>
      <c r="CVX45" s="292"/>
      <c r="CVY45" s="291"/>
      <c r="CVZ45" s="292"/>
      <c r="CWA45" s="292"/>
      <c r="CWB45" s="292"/>
      <c r="CWC45" s="291"/>
      <c r="CWD45" s="292"/>
      <c r="CWE45" s="292"/>
      <c r="CWF45" s="292"/>
      <c r="CWG45" s="291"/>
      <c r="CWH45" s="292"/>
      <c r="CWI45" s="292"/>
      <c r="CWJ45" s="292"/>
      <c r="CWK45" s="291"/>
      <c r="CWL45" s="292"/>
      <c r="CWM45" s="292"/>
      <c r="CWN45" s="292"/>
      <c r="CWO45" s="291"/>
      <c r="CWP45" s="292"/>
      <c r="CWQ45" s="292"/>
      <c r="CWR45" s="292"/>
      <c r="CWS45" s="291"/>
      <c r="CWT45" s="292"/>
      <c r="CWU45" s="292"/>
      <c r="CWV45" s="292"/>
      <c r="CWW45" s="291"/>
      <c r="CWX45" s="292"/>
      <c r="CWY45" s="292"/>
      <c r="CWZ45" s="292"/>
      <c r="CXA45" s="291"/>
      <c r="CXB45" s="292"/>
      <c r="CXC45" s="292"/>
      <c r="CXD45" s="292"/>
      <c r="CXE45" s="291"/>
      <c r="CXF45" s="292"/>
      <c r="CXG45" s="292"/>
      <c r="CXH45" s="292"/>
      <c r="CXI45" s="291"/>
      <c r="CXJ45" s="292"/>
      <c r="CXK45" s="292"/>
      <c r="CXL45" s="292"/>
      <c r="CXM45" s="291"/>
      <c r="CXN45" s="292"/>
      <c r="CXO45" s="292"/>
      <c r="CXP45" s="292"/>
      <c r="CXQ45" s="291"/>
      <c r="CXR45" s="292"/>
      <c r="CXS45" s="292"/>
      <c r="CXT45" s="292"/>
      <c r="CXU45" s="291"/>
      <c r="CXV45" s="292"/>
      <c r="CXW45" s="292"/>
      <c r="CXX45" s="292"/>
      <c r="CXY45" s="291"/>
      <c r="CXZ45" s="292"/>
      <c r="CYA45" s="292"/>
      <c r="CYB45" s="292"/>
      <c r="CYC45" s="291"/>
      <c r="CYD45" s="292"/>
      <c r="CYE45" s="292"/>
      <c r="CYF45" s="292"/>
      <c r="CYG45" s="291"/>
      <c r="CYH45" s="292"/>
      <c r="CYI45" s="292"/>
      <c r="CYJ45" s="292"/>
      <c r="CYK45" s="291"/>
      <c r="CYL45" s="292"/>
      <c r="CYM45" s="292"/>
      <c r="CYN45" s="292"/>
      <c r="CYO45" s="291"/>
      <c r="CYP45" s="292"/>
      <c r="CYQ45" s="292"/>
      <c r="CYR45" s="292"/>
      <c r="CYS45" s="291"/>
      <c r="CYT45" s="292"/>
      <c r="CYU45" s="292"/>
      <c r="CYV45" s="292"/>
      <c r="CYW45" s="291"/>
      <c r="CYX45" s="292"/>
      <c r="CYY45" s="292"/>
      <c r="CYZ45" s="292"/>
      <c r="CZA45" s="291"/>
      <c r="CZB45" s="292"/>
      <c r="CZC45" s="292"/>
      <c r="CZD45" s="292"/>
      <c r="CZE45" s="291"/>
      <c r="CZF45" s="292"/>
      <c r="CZG45" s="292"/>
      <c r="CZH45" s="292"/>
      <c r="CZI45" s="291"/>
      <c r="CZJ45" s="292"/>
      <c r="CZK45" s="292"/>
      <c r="CZL45" s="292"/>
      <c r="CZM45" s="291"/>
      <c r="CZN45" s="292"/>
      <c r="CZO45" s="292"/>
      <c r="CZP45" s="292"/>
      <c r="CZQ45" s="291"/>
      <c r="CZR45" s="292"/>
      <c r="CZS45" s="292"/>
      <c r="CZT45" s="292"/>
      <c r="CZU45" s="291"/>
      <c r="CZV45" s="292"/>
      <c r="CZW45" s="292"/>
      <c r="CZX45" s="292"/>
      <c r="CZY45" s="291"/>
      <c r="CZZ45" s="292"/>
      <c r="DAA45" s="292"/>
      <c r="DAB45" s="292"/>
      <c r="DAC45" s="291"/>
      <c r="DAD45" s="292"/>
      <c r="DAE45" s="292"/>
      <c r="DAF45" s="292"/>
      <c r="DAG45" s="291"/>
      <c r="DAH45" s="292"/>
      <c r="DAI45" s="292"/>
      <c r="DAJ45" s="292"/>
      <c r="DAK45" s="291"/>
      <c r="DAL45" s="292"/>
      <c r="DAM45" s="292"/>
      <c r="DAN45" s="292"/>
      <c r="DAO45" s="291"/>
      <c r="DAP45" s="292"/>
      <c r="DAQ45" s="292"/>
      <c r="DAR45" s="292"/>
      <c r="DAS45" s="291"/>
      <c r="DAT45" s="292"/>
      <c r="DAU45" s="292"/>
      <c r="DAV45" s="292"/>
      <c r="DAW45" s="291"/>
      <c r="DAX45" s="292"/>
      <c r="DAY45" s="292"/>
      <c r="DAZ45" s="292"/>
      <c r="DBA45" s="291"/>
      <c r="DBB45" s="292"/>
      <c r="DBC45" s="292"/>
      <c r="DBD45" s="292"/>
      <c r="DBE45" s="291"/>
      <c r="DBF45" s="292"/>
      <c r="DBG45" s="292"/>
      <c r="DBH45" s="292"/>
      <c r="DBI45" s="291"/>
      <c r="DBJ45" s="292"/>
      <c r="DBK45" s="292"/>
      <c r="DBL45" s="292"/>
      <c r="DBM45" s="291"/>
      <c r="DBN45" s="292"/>
      <c r="DBO45" s="292"/>
      <c r="DBP45" s="292"/>
      <c r="DBQ45" s="291"/>
      <c r="DBR45" s="292"/>
      <c r="DBS45" s="292"/>
      <c r="DBT45" s="292"/>
      <c r="DBU45" s="291"/>
      <c r="DBV45" s="292"/>
      <c r="DBW45" s="292"/>
      <c r="DBX45" s="292"/>
      <c r="DBY45" s="291"/>
      <c r="DBZ45" s="292"/>
      <c r="DCA45" s="292"/>
      <c r="DCB45" s="292"/>
      <c r="DCC45" s="291"/>
      <c r="DCD45" s="292"/>
      <c r="DCE45" s="292"/>
      <c r="DCF45" s="292"/>
      <c r="DCG45" s="291"/>
      <c r="DCH45" s="292"/>
      <c r="DCI45" s="292"/>
      <c r="DCJ45" s="292"/>
      <c r="DCK45" s="291"/>
      <c r="DCL45" s="292"/>
      <c r="DCM45" s="292"/>
      <c r="DCN45" s="292"/>
      <c r="DCO45" s="291"/>
      <c r="DCP45" s="292"/>
      <c r="DCQ45" s="292"/>
      <c r="DCR45" s="292"/>
      <c r="DCS45" s="291"/>
      <c r="DCT45" s="292"/>
      <c r="DCU45" s="292"/>
      <c r="DCV45" s="292"/>
      <c r="DCW45" s="291"/>
      <c r="DCX45" s="292"/>
      <c r="DCY45" s="292"/>
      <c r="DCZ45" s="292"/>
      <c r="DDA45" s="291"/>
      <c r="DDB45" s="292"/>
      <c r="DDC45" s="292"/>
      <c r="DDD45" s="292"/>
      <c r="DDE45" s="291"/>
      <c r="DDF45" s="292"/>
      <c r="DDG45" s="292"/>
      <c r="DDH45" s="292"/>
      <c r="DDI45" s="291"/>
      <c r="DDJ45" s="292"/>
      <c r="DDK45" s="292"/>
      <c r="DDL45" s="292"/>
      <c r="DDM45" s="291"/>
      <c r="DDN45" s="292"/>
      <c r="DDO45" s="292"/>
      <c r="DDP45" s="292"/>
      <c r="DDQ45" s="291"/>
      <c r="DDR45" s="292"/>
      <c r="DDS45" s="292"/>
      <c r="DDT45" s="292"/>
      <c r="DDU45" s="291"/>
      <c r="DDV45" s="292"/>
      <c r="DDW45" s="292"/>
      <c r="DDX45" s="292"/>
      <c r="DDY45" s="291"/>
      <c r="DDZ45" s="292"/>
      <c r="DEA45" s="292"/>
      <c r="DEB45" s="292"/>
      <c r="DEC45" s="291"/>
      <c r="DED45" s="292"/>
      <c r="DEE45" s="292"/>
      <c r="DEF45" s="292"/>
      <c r="DEG45" s="291"/>
      <c r="DEH45" s="292"/>
      <c r="DEI45" s="292"/>
      <c r="DEJ45" s="292"/>
      <c r="DEK45" s="291"/>
      <c r="DEL45" s="292"/>
      <c r="DEM45" s="292"/>
      <c r="DEN45" s="292"/>
      <c r="DEO45" s="291"/>
      <c r="DEP45" s="292"/>
      <c r="DEQ45" s="292"/>
      <c r="DER45" s="292"/>
      <c r="DES45" s="291"/>
      <c r="DET45" s="292"/>
      <c r="DEU45" s="292"/>
      <c r="DEV45" s="292"/>
      <c r="DEW45" s="291"/>
      <c r="DEX45" s="292"/>
      <c r="DEY45" s="292"/>
      <c r="DEZ45" s="292"/>
      <c r="DFA45" s="291"/>
      <c r="DFB45" s="292"/>
      <c r="DFC45" s="292"/>
      <c r="DFD45" s="292"/>
      <c r="DFE45" s="291"/>
      <c r="DFF45" s="292"/>
      <c r="DFG45" s="292"/>
      <c r="DFH45" s="292"/>
      <c r="DFI45" s="291"/>
      <c r="DFJ45" s="292"/>
      <c r="DFK45" s="292"/>
      <c r="DFL45" s="292"/>
      <c r="DFM45" s="291"/>
      <c r="DFN45" s="292"/>
      <c r="DFO45" s="292"/>
      <c r="DFP45" s="292"/>
      <c r="DFQ45" s="291"/>
      <c r="DFR45" s="292"/>
      <c r="DFS45" s="292"/>
      <c r="DFT45" s="292"/>
      <c r="DFU45" s="291"/>
      <c r="DFV45" s="292"/>
      <c r="DFW45" s="292"/>
      <c r="DFX45" s="292"/>
      <c r="DFY45" s="291"/>
      <c r="DFZ45" s="292"/>
      <c r="DGA45" s="292"/>
      <c r="DGB45" s="292"/>
      <c r="DGC45" s="291"/>
      <c r="DGD45" s="292"/>
      <c r="DGE45" s="292"/>
      <c r="DGF45" s="292"/>
      <c r="DGG45" s="291"/>
      <c r="DGH45" s="292"/>
      <c r="DGI45" s="292"/>
      <c r="DGJ45" s="292"/>
      <c r="DGK45" s="291"/>
      <c r="DGL45" s="292"/>
      <c r="DGM45" s="292"/>
      <c r="DGN45" s="292"/>
      <c r="DGO45" s="291"/>
      <c r="DGP45" s="292"/>
      <c r="DGQ45" s="292"/>
      <c r="DGR45" s="292"/>
      <c r="DGS45" s="291"/>
      <c r="DGT45" s="292"/>
      <c r="DGU45" s="292"/>
      <c r="DGV45" s="292"/>
      <c r="DGW45" s="291"/>
      <c r="DGX45" s="292"/>
      <c r="DGY45" s="292"/>
      <c r="DGZ45" s="292"/>
      <c r="DHA45" s="291"/>
      <c r="DHB45" s="292"/>
      <c r="DHC45" s="292"/>
      <c r="DHD45" s="292"/>
      <c r="DHE45" s="291"/>
      <c r="DHF45" s="292"/>
      <c r="DHG45" s="292"/>
      <c r="DHH45" s="292"/>
      <c r="DHI45" s="291"/>
      <c r="DHJ45" s="292"/>
      <c r="DHK45" s="292"/>
      <c r="DHL45" s="292"/>
      <c r="DHM45" s="291"/>
      <c r="DHN45" s="292"/>
      <c r="DHO45" s="292"/>
      <c r="DHP45" s="292"/>
      <c r="DHQ45" s="291"/>
      <c r="DHR45" s="292"/>
      <c r="DHS45" s="292"/>
      <c r="DHT45" s="292"/>
      <c r="DHU45" s="291"/>
      <c r="DHV45" s="292"/>
      <c r="DHW45" s="292"/>
      <c r="DHX45" s="292"/>
      <c r="DHY45" s="291"/>
      <c r="DHZ45" s="292"/>
      <c r="DIA45" s="292"/>
      <c r="DIB45" s="292"/>
      <c r="DIC45" s="291"/>
      <c r="DID45" s="292"/>
      <c r="DIE45" s="292"/>
      <c r="DIF45" s="292"/>
      <c r="DIG45" s="291"/>
      <c r="DIH45" s="292"/>
      <c r="DII45" s="292"/>
      <c r="DIJ45" s="292"/>
      <c r="DIK45" s="291"/>
      <c r="DIL45" s="292"/>
      <c r="DIM45" s="292"/>
      <c r="DIN45" s="292"/>
      <c r="DIO45" s="291"/>
      <c r="DIP45" s="292"/>
      <c r="DIQ45" s="292"/>
      <c r="DIR45" s="292"/>
      <c r="DIS45" s="291"/>
      <c r="DIT45" s="292"/>
      <c r="DIU45" s="292"/>
      <c r="DIV45" s="292"/>
      <c r="DIW45" s="291"/>
      <c r="DIX45" s="292"/>
      <c r="DIY45" s="292"/>
      <c r="DIZ45" s="292"/>
      <c r="DJA45" s="291"/>
      <c r="DJB45" s="292"/>
      <c r="DJC45" s="292"/>
      <c r="DJD45" s="292"/>
      <c r="DJE45" s="291"/>
      <c r="DJF45" s="292"/>
      <c r="DJG45" s="292"/>
      <c r="DJH45" s="292"/>
      <c r="DJI45" s="291"/>
      <c r="DJJ45" s="292"/>
      <c r="DJK45" s="292"/>
      <c r="DJL45" s="292"/>
      <c r="DJM45" s="291"/>
      <c r="DJN45" s="292"/>
      <c r="DJO45" s="292"/>
      <c r="DJP45" s="292"/>
      <c r="DJQ45" s="291"/>
      <c r="DJR45" s="292"/>
      <c r="DJS45" s="292"/>
      <c r="DJT45" s="292"/>
      <c r="DJU45" s="291"/>
      <c r="DJV45" s="292"/>
      <c r="DJW45" s="292"/>
      <c r="DJX45" s="292"/>
      <c r="DJY45" s="291"/>
      <c r="DJZ45" s="292"/>
      <c r="DKA45" s="292"/>
      <c r="DKB45" s="292"/>
      <c r="DKC45" s="291"/>
      <c r="DKD45" s="292"/>
      <c r="DKE45" s="292"/>
      <c r="DKF45" s="292"/>
      <c r="DKG45" s="291"/>
      <c r="DKH45" s="292"/>
      <c r="DKI45" s="292"/>
      <c r="DKJ45" s="292"/>
      <c r="DKK45" s="291"/>
      <c r="DKL45" s="292"/>
      <c r="DKM45" s="292"/>
      <c r="DKN45" s="292"/>
      <c r="DKO45" s="291"/>
      <c r="DKP45" s="292"/>
      <c r="DKQ45" s="292"/>
      <c r="DKR45" s="292"/>
      <c r="DKS45" s="291"/>
      <c r="DKT45" s="292"/>
      <c r="DKU45" s="292"/>
      <c r="DKV45" s="292"/>
      <c r="DKW45" s="291"/>
      <c r="DKX45" s="292"/>
      <c r="DKY45" s="292"/>
      <c r="DKZ45" s="292"/>
      <c r="DLA45" s="291"/>
      <c r="DLB45" s="292"/>
      <c r="DLC45" s="292"/>
      <c r="DLD45" s="292"/>
      <c r="DLE45" s="291"/>
      <c r="DLF45" s="292"/>
      <c r="DLG45" s="292"/>
      <c r="DLH45" s="292"/>
      <c r="DLI45" s="291"/>
      <c r="DLJ45" s="292"/>
      <c r="DLK45" s="292"/>
      <c r="DLL45" s="292"/>
      <c r="DLM45" s="291"/>
      <c r="DLN45" s="292"/>
      <c r="DLO45" s="292"/>
      <c r="DLP45" s="292"/>
      <c r="DLQ45" s="291"/>
      <c r="DLR45" s="292"/>
      <c r="DLS45" s="292"/>
      <c r="DLT45" s="292"/>
      <c r="DLU45" s="291"/>
      <c r="DLV45" s="292"/>
      <c r="DLW45" s="292"/>
      <c r="DLX45" s="292"/>
      <c r="DLY45" s="291"/>
      <c r="DLZ45" s="292"/>
      <c r="DMA45" s="292"/>
      <c r="DMB45" s="292"/>
      <c r="DMC45" s="291"/>
      <c r="DMD45" s="292"/>
      <c r="DME45" s="292"/>
      <c r="DMF45" s="292"/>
      <c r="DMG45" s="291"/>
      <c r="DMH45" s="292"/>
      <c r="DMI45" s="292"/>
      <c r="DMJ45" s="292"/>
      <c r="DMK45" s="291"/>
      <c r="DML45" s="292"/>
      <c r="DMM45" s="292"/>
      <c r="DMN45" s="292"/>
      <c r="DMO45" s="291"/>
      <c r="DMP45" s="292"/>
      <c r="DMQ45" s="292"/>
      <c r="DMR45" s="292"/>
      <c r="DMS45" s="291"/>
      <c r="DMT45" s="292"/>
      <c r="DMU45" s="292"/>
      <c r="DMV45" s="292"/>
      <c r="DMW45" s="291"/>
      <c r="DMX45" s="292"/>
      <c r="DMY45" s="292"/>
      <c r="DMZ45" s="292"/>
      <c r="DNA45" s="291"/>
      <c r="DNB45" s="292"/>
      <c r="DNC45" s="292"/>
      <c r="DND45" s="292"/>
      <c r="DNE45" s="291"/>
      <c r="DNF45" s="292"/>
      <c r="DNG45" s="292"/>
      <c r="DNH45" s="292"/>
      <c r="DNI45" s="291"/>
      <c r="DNJ45" s="292"/>
      <c r="DNK45" s="292"/>
      <c r="DNL45" s="292"/>
      <c r="DNM45" s="291"/>
      <c r="DNN45" s="292"/>
      <c r="DNO45" s="292"/>
      <c r="DNP45" s="292"/>
      <c r="DNQ45" s="291"/>
      <c r="DNR45" s="292"/>
      <c r="DNS45" s="292"/>
      <c r="DNT45" s="292"/>
      <c r="DNU45" s="291"/>
      <c r="DNV45" s="292"/>
      <c r="DNW45" s="292"/>
      <c r="DNX45" s="292"/>
      <c r="DNY45" s="291"/>
      <c r="DNZ45" s="292"/>
      <c r="DOA45" s="292"/>
      <c r="DOB45" s="292"/>
      <c r="DOC45" s="291"/>
      <c r="DOD45" s="292"/>
      <c r="DOE45" s="292"/>
      <c r="DOF45" s="292"/>
      <c r="DOG45" s="291"/>
      <c r="DOH45" s="292"/>
      <c r="DOI45" s="292"/>
      <c r="DOJ45" s="292"/>
      <c r="DOK45" s="291"/>
      <c r="DOL45" s="292"/>
      <c r="DOM45" s="292"/>
      <c r="DON45" s="292"/>
      <c r="DOO45" s="291"/>
      <c r="DOP45" s="292"/>
      <c r="DOQ45" s="292"/>
      <c r="DOR45" s="292"/>
      <c r="DOS45" s="291"/>
      <c r="DOT45" s="292"/>
      <c r="DOU45" s="292"/>
      <c r="DOV45" s="292"/>
      <c r="DOW45" s="291"/>
      <c r="DOX45" s="292"/>
      <c r="DOY45" s="292"/>
      <c r="DOZ45" s="292"/>
      <c r="DPA45" s="291"/>
      <c r="DPB45" s="292"/>
      <c r="DPC45" s="292"/>
      <c r="DPD45" s="292"/>
      <c r="DPE45" s="291"/>
      <c r="DPF45" s="292"/>
      <c r="DPG45" s="292"/>
      <c r="DPH45" s="292"/>
      <c r="DPI45" s="291"/>
      <c r="DPJ45" s="292"/>
      <c r="DPK45" s="292"/>
      <c r="DPL45" s="292"/>
      <c r="DPM45" s="291"/>
      <c r="DPN45" s="292"/>
      <c r="DPO45" s="292"/>
      <c r="DPP45" s="292"/>
      <c r="DPQ45" s="291"/>
      <c r="DPR45" s="292"/>
      <c r="DPS45" s="292"/>
      <c r="DPT45" s="292"/>
      <c r="DPU45" s="291"/>
      <c r="DPV45" s="292"/>
      <c r="DPW45" s="292"/>
      <c r="DPX45" s="292"/>
      <c r="DPY45" s="291"/>
      <c r="DPZ45" s="292"/>
      <c r="DQA45" s="292"/>
      <c r="DQB45" s="292"/>
      <c r="DQC45" s="291"/>
      <c r="DQD45" s="292"/>
      <c r="DQE45" s="292"/>
      <c r="DQF45" s="292"/>
      <c r="DQG45" s="291"/>
      <c r="DQH45" s="292"/>
      <c r="DQI45" s="292"/>
      <c r="DQJ45" s="292"/>
      <c r="DQK45" s="291"/>
      <c r="DQL45" s="292"/>
      <c r="DQM45" s="292"/>
      <c r="DQN45" s="292"/>
      <c r="DQO45" s="291"/>
      <c r="DQP45" s="292"/>
      <c r="DQQ45" s="292"/>
      <c r="DQR45" s="292"/>
      <c r="DQS45" s="291"/>
      <c r="DQT45" s="292"/>
      <c r="DQU45" s="292"/>
      <c r="DQV45" s="292"/>
      <c r="DQW45" s="291"/>
      <c r="DQX45" s="292"/>
      <c r="DQY45" s="292"/>
      <c r="DQZ45" s="292"/>
      <c r="DRA45" s="291"/>
      <c r="DRB45" s="292"/>
      <c r="DRC45" s="292"/>
      <c r="DRD45" s="292"/>
      <c r="DRE45" s="291"/>
      <c r="DRF45" s="292"/>
      <c r="DRG45" s="292"/>
      <c r="DRH45" s="292"/>
      <c r="DRI45" s="291"/>
      <c r="DRJ45" s="292"/>
      <c r="DRK45" s="292"/>
      <c r="DRL45" s="292"/>
      <c r="DRM45" s="291"/>
      <c r="DRN45" s="292"/>
      <c r="DRO45" s="292"/>
      <c r="DRP45" s="292"/>
      <c r="DRQ45" s="291"/>
      <c r="DRR45" s="292"/>
      <c r="DRS45" s="292"/>
      <c r="DRT45" s="292"/>
      <c r="DRU45" s="291"/>
      <c r="DRV45" s="292"/>
      <c r="DRW45" s="292"/>
      <c r="DRX45" s="292"/>
      <c r="DRY45" s="291"/>
      <c r="DRZ45" s="292"/>
      <c r="DSA45" s="292"/>
      <c r="DSB45" s="292"/>
      <c r="DSC45" s="291"/>
      <c r="DSD45" s="292"/>
      <c r="DSE45" s="292"/>
      <c r="DSF45" s="292"/>
      <c r="DSG45" s="291"/>
      <c r="DSH45" s="292"/>
      <c r="DSI45" s="292"/>
      <c r="DSJ45" s="292"/>
      <c r="DSK45" s="291"/>
      <c r="DSL45" s="292"/>
      <c r="DSM45" s="292"/>
      <c r="DSN45" s="292"/>
      <c r="DSO45" s="291"/>
      <c r="DSP45" s="292"/>
      <c r="DSQ45" s="292"/>
      <c r="DSR45" s="292"/>
      <c r="DSS45" s="291"/>
      <c r="DST45" s="292"/>
      <c r="DSU45" s="292"/>
      <c r="DSV45" s="292"/>
      <c r="DSW45" s="291"/>
      <c r="DSX45" s="292"/>
      <c r="DSY45" s="292"/>
      <c r="DSZ45" s="292"/>
      <c r="DTA45" s="291"/>
      <c r="DTB45" s="292"/>
      <c r="DTC45" s="292"/>
      <c r="DTD45" s="292"/>
      <c r="DTE45" s="291"/>
      <c r="DTF45" s="292"/>
      <c r="DTG45" s="292"/>
      <c r="DTH45" s="292"/>
      <c r="DTI45" s="291"/>
      <c r="DTJ45" s="292"/>
      <c r="DTK45" s="292"/>
      <c r="DTL45" s="292"/>
      <c r="DTM45" s="291"/>
      <c r="DTN45" s="292"/>
      <c r="DTO45" s="292"/>
      <c r="DTP45" s="292"/>
      <c r="DTQ45" s="291"/>
      <c r="DTR45" s="292"/>
      <c r="DTS45" s="292"/>
      <c r="DTT45" s="292"/>
      <c r="DTU45" s="291"/>
      <c r="DTV45" s="292"/>
      <c r="DTW45" s="292"/>
      <c r="DTX45" s="292"/>
      <c r="DTY45" s="291"/>
      <c r="DTZ45" s="292"/>
      <c r="DUA45" s="292"/>
      <c r="DUB45" s="292"/>
      <c r="DUC45" s="291"/>
      <c r="DUD45" s="292"/>
      <c r="DUE45" s="292"/>
      <c r="DUF45" s="292"/>
      <c r="DUG45" s="291"/>
      <c r="DUH45" s="292"/>
      <c r="DUI45" s="292"/>
      <c r="DUJ45" s="292"/>
      <c r="DUK45" s="291"/>
      <c r="DUL45" s="292"/>
      <c r="DUM45" s="292"/>
      <c r="DUN45" s="292"/>
      <c r="DUO45" s="291"/>
      <c r="DUP45" s="292"/>
      <c r="DUQ45" s="292"/>
      <c r="DUR45" s="292"/>
      <c r="DUS45" s="291"/>
      <c r="DUT45" s="292"/>
      <c r="DUU45" s="292"/>
      <c r="DUV45" s="292"/>
      <c r="DUW45" s="291"/>
      <c r="DUX45" s="292"/>
      <c r="DUY45" s="292"/>
      <c r="DUZ45" s="292"/>
      <c r="DVA45" s="291"/>
      <c r="DVB45" s="292"/>
      <c r="DVC45" s="292"/>
      <c r="DVD45" s="292"/>
      <c r="DVE45" s="291"/>
      <c r="DVF45" s="292"/>
      <c r="DVG45" s="292"/>
      <c r="DVH45" s="292"/>
      <c r="DVI45" s="291"/>
      <c r="DVJ45" s="292"/>
      <c r="DVK45" s="292"/>
      <c r="DVL45" s="292"/>
      <c r="DVM45" s="291"/>
      <c r="DVN45" s="292"/>
      <c r="DVO45" s="292"/>
      <c r="DVP45" s="292"/>
      <c r="DVQ45" s="291"/>
      <c r="DVR45" s="292"/>
      <c r="DVS45" s="292"/>
      <c r="DVT45" s="292"/>
      <c r="DVU45" s="291"/>
      <c r="DVV45" s="292"/>
      <c r="DVW45" s="292"/>
      <c r="DVX45" s="292"/>
      <c r="DVY45" s="291"/>
      <c r="DVZ45" s="292"/>
      <c r="DWA45" s="292"/>
      <c r="DWB45" s="292"/>
      <c r="DWC45" s="291"/>
      <c r="DWD45" s="292"/>
      <c r="DWE45" s="292"/>
      <c r="DWF45" s="292"/>
      <c r="DWG45" s="291"/>
      <c r="DWH45" s="292"/>
      <c r="DWI45" s="292"/>
      <c r="DWJ45" s="292"/>
      <c r="DWK45" s="291"/>
      <c r="DWL45" s="292"/>
      <c r="DWM45" s="292"/>
      <c r="DWN45" s="292"/>
      <c r="DWO45" s="291"/>
      <c r="DWP45" s="292"/>
      <c r="DWQ45" s="292"/>
      <c r="DWR45" s="292"/>
      <c r="DWS45" s="291"/>
      <c r="DWT45" s="292"/>
      <c r="DWU45" s="292"/>
      <c r="DWV45" s="292"/>
      <c r="DWW45" s="291"/>
      <c r="DWX45" s="292"/>
      <c r="DWY45" s="292"/>
      <c r="DWZ45" s="292"/>
      <c r="DXA45" s="291"/>
      <c r="DXB45" s="292"/>
      <c r="DXC45" s="292"/>
      <c r="DXD45" s="292"/>
      <c r="DXE45" s="291"/>
      <c r="DXF45" s="292"/>
      <c r="DXG45" s="292"/>
      <c r="DXH45" s="292"/>
      <c r="DXI45" s="291"/>
      <c r="DXJ45" s="292"/>
      <c r="DXK45" s="292"/>
      <c r="DXL45" s="292"/>
      <c r="DXM45" s="291"/>
      <c r="DXN45" s="292"/>
      <c r="DXO45" s="292"/>
      <c r="DXP45" s="292"/>
      <c r="DXQ45" s="291"/>
      <c r="DXR45" s="292"/>
      <c r="DXS45" s="292"/>
      <c r="DXT45" s="292"/>
      <c r="DXU45" s="291"/>
      <c r="DXV45" s="292"/>
      <c r="DXW45" s="292"/>
      <c r="DXX45" s="292"/>
      <c r="DXY45" s="291"/>
      <c r="DXZ45" s="292"/>
      <c r="DYA45" s="292"/>
      <c r="DYB45" s="292"/>
      <c r="DYC45" s="291"/>
      <c r="DYD45" s="292"/>
      <c r="DYE45" s="292"/>
      <c r="DYF45" s="292"/>
      <c r="DYG45" s="291"/>
      <c r="DYH45" s="292"/>
      <c r="DYI45" s="292"/>
      <c r="DYJ45" s="292"/>
      <c r="DYK45" s="291"/>
      <c r="DYL45" s="292"/>
      <c r="DYM45" s="292"/>
      <c r="DYN45" s="292"/>
      <c r="DYO45" s="291"/>
      <c r="DYP45" s="292"/>
      <c r="DYQ45" s="292"/>
      <c r="DYR45" s="292"/>
      <c r="DYS45" s="291"/>
      <c r="DYT45" s="292"/>
      <c r="DYU45" s="292"/>
      <c r="DYV45" s="292"/>
      <c r="DYW45" s="291"/>
      <c r="DYX45" s="292"/>
      <c r="DYY45" s="292"/>
      <c r="DYZ45" s="292"/>
      <c r="DZA45" s="291"/>
      <c r="DZB45" s="292"/>
      <c r="DZC45" s="292"/>
      <c r="DZD45" s="292"/>
      <c r="DZE45" s="291"/>
      <c r="DZF45" s="292"/>
      <c r="DZG45" s="292"/>
      <c r="DZH45" s="292"/>
      <c r="DZI45" s="291"/>
      <c r="DZJ45" s="292"/>
      <c r="DZK45" s="292"/>
      <c r="DZL45" s="292"/>
      <c r="DZM45" s="291"/>
      <c r="DZN45" s="292"/>
      <c r="DZO45" s="292"/>
      <c r="DZP45" s="292"/>
      <c r="DZQ45" s="291"/>
      <c r="DZR45" s="292"/>
      <c r="DZS45" s="292"/>
      <c r="DZT45" s="292"/>
      <c r="DZU45" s="291"/>
      <c r="DZV45" s="292"/>
      <c r="DZW45" s="292"/>
      <c r="DZX45" s="292"/>
      <c r="DZY45" s="291"/>
      <c r="DZZ45" s="292"/>
      <c r="EAA45" s="292"/>
      <c r="EAB45" s="292"/>
      <c r="EAC45" s="291"/>
      <c r="EAD45" s="292"/>
      <c r="EAE45" s="292"/>
      <c r="EAF45" s="292"/>
      <c r="EAG45" s="291"/>
      <c r="EAH45" s="292"/>
      <c r="EAI45" s="292"/>
      <c r="EAJ45" s="292"/>
      <c r="EAK45" s="291"/>
      <c r="EAL45" s="292"/>
      <c r="EAM45" s="292"/>
      <c r="EAN45" s="292"/>
      <c r="EAO45" s="291"/>
      <c r="EAP45" s="292"/>
      <c r="EAQ45" s="292"/>
      <c r="EAR45" s="292"/>
      <c r="EAS45" s="291"/>
      <c r="EAT45" s="292"/>
      <c r="EAU45" s="292"/>
      <c r="EAV45" s="292"/>
      <c r="EAW45" s="291"/>
      <c r="EAX45" s="292"/>
      <c r="EAY45" s="292"/>
      <c r="EAZ45" s="292"/>
      <c r="EBA45" s="291"/>
      <c r="EBB45" s="292"/>
      <c r="EBC45" s="292"/>
      <c r="EBD45" s="292"/>
      <c r="EBE45" s="291"/>
      <c r="EBF45" s="292"/>
      <c r="EBG45" s="292"/>
      <c r="EBH45" s="292"/>
      <c r="EBI45" s="291"/>
      <c r="EBJ45" s="292"/>
      <c r="EBK45" s="292"/>
      <c r="EBL45" s="292"/>
      <c r="EBM45" s="291"/>
      <c r="EBN45" s="292"/>
      <c r="EBO45" s="292"/>
      <c r="EBP45" s="292"/>
      <c r="EBQ45" s="291"/>
      <c r="EBR45" s="292"/>
      <c r="EBS45" s="292"/>
      <c r="EBT45" s="292"/>
      <c r="EBU45" s="291"/>
      <c r="EBV45" s="292"/>
      <c r="EBW45" s="292"/>
      <c r="EBX45" s="292"/>
      <c r="EBY45" s="291"/>
      <c r="EBZ45" s="292"/>
      <c r="ECA45" s="292"/>
      <c r="ECB45" s="292"/>
      <c r="ECC45" s="291"/>
      <c r="ECD45" s="292"/>
      <c r="ECE45" s="292"/>
      <c r="ECF45" s="292"/>
      <c r="ECG45" s="291"/>
      <c r="ECH45" s="292"/>
      <c r="ECI45" s="292"/>
      <c r="ECJ45" s="292"/>
      <c r="ECK45" s="291"/>
      <c r="ECL45" s="292"/>
      <c r="ECM45" s="292"/>
      <c r="ECN45" s="292"/>
      <c r="ECO45" s="291"/>
      <c r="ECP45" s="292"/>
      <c r="ECQ45" s="292"/>
      <c r="ECR45" s="292"/>
      <c r="ECS45" s="291"/>
      <c r="ECT45" s="292"/>
      <c r="ECU45" s="292"/>
      <c r="ECV45" s="292"/>
      <c r="ECW45" s="291"/>
      <c r="ECX45" s="292"/>
      <c r="ECY45" s="292"/>
      <c r="ECZ45" s="292"/>
      <c r="EDA45" s="291"/>
      <c r="EDB45" s="292"/>
      <c r="EDC45" s="292"/>
      <c r="EDD45" s="292"/>
      <c r="EDE45" s="291"/>
      <c r="EDF45" s="292"/>
      <c r="EDG45" s="292"/>
      <c r="EDH45" s="292"/>
      <c r="EDI45" s="291"/>
      <c r="EDJ45" s="292"/>
      <c r="EDK45" s="292"/>
      <c r="EDL45" s="292"/>
      <c r="EDM45" s="291"/>
      <c r="EDN45" s="292"/>
      <c r="EDO45" s="292"/>
      <c r="EDP45" s="292"/>
      <c r="EDQ45" s="291"/>
      <c r="EDR45" s="292"/>
      <c r="EDS45" s="292"/>
      <c r="EDT45" s="292"/>
      <c r="EDU45" s="291"/>
      <c r="EDV45" s="292"/>
      <c r="EDW45" s="292"/>
      <c r="EDX45" s="292"/>
      <c r="EDY45" s="291"/>
      <c r="EDZ45" s="292"/>
      <c r="EEA45" s="292"/>
      <c r="EEB45" s="292"/>
      <c r="EEC45" s="291"/>
      <c r="EED45" s="292"/>
      <c r="EEE45" s="292"/>
      <c r="EEF45" s="292"/>
      <c r="EEG45" s="291"/>
      <c r="EEH45" s="292"/>
      <c r="EEI45" s="292"/>
      <c r="EEJ45" s="292"/>
      <c r="EEK45" s="291"/>
      <c r="EEL45" s="292"/>
      <c r="EEM45" s="292"/>
      <c r="EEN45" s="292"/>
      <c r="EEO45" s="291"/>
      <c r="EEP45" s="292"/>
      <c r="EEQ45" s="292"/>
      <c r="EER45" s="292"/>
      <c r="EES45" s="291"/>
      <c r="EET45" s="292"/>
      <c r="EEU45" s="292"/>
      <c r="EEV45" s="292"/>
      <c r="EEW45" s="291"/>
      <c r="EEX45" s="292"/>
      <c r="EEY45" s="292"/>
      <c r="EEZ45" s="292"/>
      <c r="EFA45" s="291"/>
      <c r="EFB45" s="292"/>
      <c r="EFC45" s="292"/>
      <c r="EFD45" s="292"/>
      <c r="EFE45" s="291"/>
      <c r="EFF45" s="292"/>
      <c r="EFG45" s="292"/>
      <c r="EFH45" s="292"/>
      <c r="EFI45" s="291"/>
      <c r="EFJ45" s="292"/>
      <c r="EFK45" s="292"/>
      <c r="EFL45" s="292"/>
      <c r="EFM45" s="291"/>
      <c r="EFN45" s="292"/>
      <c r="EFO45" s="292"/>
      <c r="EFP45" s="292"/>
      <c r="EFQ45" s="291"/>
      <c r="EFR45" s="292"/>
      <c r="EFS45" s="292"/>
      <c r="EFT45" s="292"/>
      <c r="EFU45" s="291"/>
      <c r="EFV45" s="292"/>
      <c r="EFW45" s="292"/>
      <c r="EFX45" s="292"/>
      <c r="EFY45" s="291"/>
      <c r="EFZ45" s="292"/>
      <c r="EGA45" s="292"/>
      <c r="EGB45" s="292"/>
      <c r="EGC45" s="291"/>
      <c r="EGD45" s="292"/>
      <c r="EGE45" s="292"/>
      <c r="EGF45" s="292"/>
      <c r="EGG45" s="291"/>
      <c r="EGH45" s="292"/>
      <c r="EGI45" s="292"/>
      <c r="EGJ45" s="292"/>
      <c r="EGK45" s="291"/>
      <c r="EGL45" s="292"/>
      <c r="EGM45" s="292"/>
      <c r="EGN45" s="292"/>
      <c r="EGO45" s="291"/>
      <c r="EGP45" s="292"/>
      <c r="EGQ45" s="292"/>
      <c r="EGR45" s="292"/>
      <c r="EGS45" s="291"/>
      <c r="EGT45" s="292"/>
      <c r="EGU45" s="292"/>
      <c r="EGV45" s="292"/>
      <c r="EGW45" s="291"/>
      <c r="EGX45" s="292"/>
      <c r="EGY45" s="292"/>
      <c r="EGZ45" s="292"/>
      <c r="EHA45" s="291"/>
      <c r="EHB45" s="292"/>
      <c r="EHC45" s="292"/>
      <c r="EHD45" s="292"/>
      <c r="EHE45" s="291"/>
      <c r="EHF45" s="292"/>
      <c r="EHG45" s="292"/>
      <c r="EHH45" s="292"/>
      <c r="EHI45" s="291"/>
      <c r="EHJ45" s="292"/>
      <c r="EHK45" s="292"/>
      <c r="EHL45" s="292"/>
      <c r="EHM45" s="291"/>
      <c r="EHN45" s="292"/>
      <c r="EHO45" s="292"/>
      <c r="EHP45" s="292"/>
      <c r="EHQ45" s="291"/>
      <c r="EHR45" s="292"/>
      <c r="EHS45" s="292"/>
      <c r="EHT45" s="292"/>
      <c r="EHU45" s="291"/>
      <c r="EHV45" s="292"/>
      <c r="EHW45" s="292"/>
      <c r="EHX45" s="292"/>
      <c r="EHY45" s="291"/>
      <c r="EHZ45" s="292"/>
      <c r="EIA45" s="292"/>
      <c r="EIB45" s="292"/>
      <c r="EIC45" s="291"/>
      <c r="EID45" s="292"/>
      <c r="EIE45" s="292"/>
      <c r="EIF45" s="292"/>
      <c r="EIG45" s="291"/>
      <c r="EIH45" s="292"/>
      <c r="EII45" s="292"/>
      <c r="EIJ45" s="292"/>
      <c r="EIK45" s="291"/>
      <c r="EIL45" s="292"/>
      <c r="EIM45" s="292"/>
      <c r="EIN45" s="292"/>
      <c r="EIO45" s="291"/>
      <c r="EIP45" s="292"/>
      <c r="EIQ45" s="292"/>
      <c r="EIR45" s="292"/>
      <c r="EIS45" s="291"/>
      <c r="EIT45" s="292"/>
      <c r="EIU45" s="292"/>
      <c r="EIV45" s="292"/>
      <c r="EIW45" s="291"/>
      <c r="EIX45" s="292"/>
      <c r="EIY45" s="292"/>
      <c r="EIZ45" s="292"/>
      <c r="EJA45" s="291"/>
      <c r="EJB45" s="292"/>
      <c r="EJC45" s="292"/>
      <c r="EJD45" s="292"/>
      <c r="EJE45" s="291"/>
      <c r="EJF45" s="292"/>
      <c r="EJG45" s="292"/>
      <c r="EJH45" s="292"/>
      <c r="EJI45" s="291"/>
      <c r="EJJ45" s="292"/>
      <c r="EJK45" s="292"/>
      <c r="EJL45" s="292"/>
      <c r="EJM45" s="291"/>
      <c r="EJN45" s="292"/>
      <c r="EJO45" s="292"/>
      <c r="EJP45" s="292"/>
      <c r="EJQ45" s="291"/>
      <c r="EJR45" s="292"/>
      <c r="EJS45" s="292"/>
      <c r="EJT45" s="292"/>
      <c r="EJU45" s="291"/>
      <c r="EJV45" s="292"/>
      <c r="EJW45" s="292"/>
      <c r="EJX45" s="292"/>
      <c r="EJY45" s="291"/>
      <c r="EJZ45" s="292"/>
      <c r="EKA45" s="292"/>
      <c r="EKB45" s="292"/>
      <c r="EKC45" s="291"/>
      <c r="EKD45" s="292"/>
      <c r="EKE45" s="292"/>
      <c r="EKF45" s="292"/>
      <c r="EKG45" s="291"/>
      <c r="EKH45" s="292"/>
      <c r="EKI45" s="292"/>
      <c r="EKJ45" s="292"/>
      <c r="EKK45" s="291"/>
      <c r="EKL45" s="292"/>
      <c r="EKM45" s="292"/>
      <c r="EKN45" s="292"/>
      <c r="EKO45" s="291"/>
      <c r="EKP45" s="292"/>
      <c r="EKQ45" s="292"/>
      <c r="EKR45" s="292"/>
      <c r="EKS45" s="291"/>
      <c r="EKT45" s="292"/>
      <c r="EKU45" s="292"/>
      <c r="EKV45" s="292"/>
      <c r="EKW45" s="291"/>
      <c r="EKX45" s="292"/>
      <c r="EKY45" s="292"/>
      <c r="EKZ45" s="292"/>
      <c r="ELA45" s="291"/>
      <c r="ELB45" s="292"/>
      <c r="ELC45" s="292"/>
      <c r="ELD45" s="292"/>
      <c r="ELE45" s="291"/>
      <c r="ELF45" s="292"/>
      <c r="ELG45" s="292"/>
      <c r="ELH45" s="292"/>
      <c r="ELI45" s="291"/>
      <c r="ELJ45" s="292"/>
      <c r="ELK45" s="292"/>
      <c r="ELL45" s="292"/>
      <c r="ELM45" s="291"/>
      <c r="ELN45" s="292"/>
      <c r="ELO45" s="292"/>
      <c r="ELP45" s="292"/>
      <c r="ELQ45" s="291"/>
      <c r="ELR45" s="292"/>
      <c r="ELS45" s="292"/>
      <c r="ELT45" s="292"/>
      <c r="ELU45" s="291"/>
      <c r="ELV45" s="292"/>
      <c r="ELW45" s="292"/>
      <c r="ELX45" s="292"/>
      <c r="ELY45" s="291"/>
      <c r="ELZ45" s="292"/>
      <c r="EMA45" s="292"/>
      <c r="EMB45" s="292"/>
      <c r="EMC45" s="291"/>
      <c r="EMD45" s="292"/>
      <c r="EME45" s="292"/>
      <c r="EMF45" s="292"/>
      <c r="EMG45" s="291"/>
      <c r="EMH45" s="292"/>
      <c r="EMI45" s="292"/>
      <c r="EMJ45" s="292"/>
      <c r="EMK45" s="291"/>
      <c r="EML45" s="292"/>
      <c r="EMM45" s="292"/>
      <c r="EMN45" s="292"/>
      <c r="EMO45" s="291"/>
      <c r="EMP45" s="292"/>
      <c r="EMQ45" s="292"/>
      <c r="EMR45" s="292"/>
      <c r="EMS45" s="291"/>
      <c r="EMT45" s="292"/>
      <c r="EMU45" s="292"/>
      <c r="EMV45" s="292"/>
      <c r="EMW45" s="291"/>
      <c r="EMX45" s="292"/>
      <c r="EMY45" s="292"/>
      <c r="EMZ45" s="292"/>
      <c r="ENA45" s="291"/>
      <c r="ENB45" s="292"/>
      <c r="ENC45" s="292"/>
      <c r="END45" s="292"/>
      <c r="ENE45" s="291"/>
      <c r="ENF45" s="292"/>
      <c r="ENG45" s="292"/>
      <c r="ENH45" s="292"/>
      <c r="ENI45" s="291"/>
      <c r="ENJ45" s="292"/>
      <c r="ENK45" s="292"/>
      <c r="ENL45" s="292"/>
      <c r="ENM45" s="291"/>
      <c r="ENN45" s="292"/>
      <c r="ENO45" s="292"/>
      <c r="ENP45" s="292"/>
      <c r="ENQ45" s="291"/>
      <c r="ENR45" s="292"/>
      <c r="ENS45" s="292"/>
      <c r="ENT45" s="292"/>
      <c r="ENU45" s="291"/>
      <c r="ENV45" s="292"/>
      <c r="ENW45" s="292"/>
      <c r="ENX45" s="292"/>
      <c r="ENY45" s="291"/>
      <c r="ENZ45" s="292"/>
      <c r="EOA45" s="292"/>
      <c r="EOB45" s="292"/>
      <c r="EOC45" s="291"/>
      <c r="EOD45" s="292"/>
      <c r="EOE45" s="292"/>
      <c r="EOF45" s="292"/>
      <c r="EOG45" s="291"/>
      <c r="EOH45" s="292"/>
      <c r="EOI45" s="292"/>
      <c r="EOJ45" s="292"/>
      <c r="EOK45" s="291"/>
      <c r="EOL45" s="292"/>
      <c r="EOM45" s="292"/>
      <c r="EON45" s="292"/>
      <c r="EOO45" s="291"/>
      <c r="EOP45" s="292"/>
      <c r="EOQ45" s="292"/>
      <c r="EOR45" s="292"/>
      <c r="EOS45" s="291"/>
      <c r="EOT45" s="292"/>
      <c r="EOU45" s="292"/>
      <c r="EOV45" s="292"/>
      <c r="EOW45" s="291"/>
      <c r="EOX45" s="292"/>
      <c r="EOY45" s="292"/>
      <c r="EOZ45" s="292"/>
      <c r="EPA45" s="291"/>
      <c r="EPB45" s="292"/>
      <c r="EPC45" s="292"/>
      <c r="EPD45" s="292"/>
      <c r="EPE45" s="291"/>
      <c r="EPF45" s="292"/>
      <c r="EPG45" s="292"/>
      <c r="EPH45" s="292"/>
      <c r="EPI45" s="291"/>
      <c r="EPJ45" s="292"/>
      <c r="EPK45" s="292"/>
      <c r="EPL45" s="292"/>
      <c r="EPM45" s="291"/>
      <c r="EPN45" s="292"/>
      <c r="EPO45" s="292"/>
      <c r="EPP45" s="292"/>
      <c r="EPQ45" s="291"/>
      <c r="EPR45" s="292"/>
      <c r="EPS45" s="292"/>
      <c r="EPT45" s="292"/>
      <c r="EPU45" s="291"/>
      <c r="EPV45" s="292"/>
      <c r="EPW45" s="292"/>
      <c r="EPX45" s="292"/>
      <c r="EPY45" s="291"/>
      <c r="EPZ45" s="292"/>
      <c r="EQA45" s="292"/>
      <c r="EQB45" s="292"/>
      <c r="EQC45" s="291"/>
      <c r="EQD45" s="292"/>
      <c r="EQE45" s="292"/>
      <c r="EQF45" s="292"/>
      <c r="EQG45" s="291"/>
      <c r="EQH45" s="292"/>
      <c r="EQI45" s="292"/>
      <c r="EQJ45" s="292"/>
      <c r="EQK45" s="291"/>
      <c r="EQL45" s="292"/>
      <c r="EQM45" s="292"/>
      <c r="EQN45" s="292"/>
      <c r="EQO45" s="291"/>
      <c r="EQP45" s="292"/>
      <c r="EQQ45" s="292"/>
      <c r="EQR45" s="292"/>
      <c r="EQS45" s="291"/>
      <c r="EQT45" s="292"/>
      <c r="EQU45" s="292"/>
      <c r="EQV45" s="292"/>
      <c r="EQW45" s="291"/>
      <c r="EQX45" s="292"/>
      <c r="EQY45" s="292"/>
      <c r="EQZ45" s="292"/>
      <c r="ERA45" s="291"/>
      <c r="ERB45" s="292"/>
      <c r="ERC45" s="292"/>
      <c r="ERD45" s="292"/>
      <c r="ERE45" s="291"/>
      <c r="ERF45" s="292"/>
      <c r="ERG45" s="292"/>
      <c r="ERH45" s="292"/>
      <c r="ERI45" s="291"/>
      <c r="ERJ45" s="292"/>
      <c r="ERK45" s="292"/>
      <c r="ERL45" s="292"/>
      <c r="ERM45" s="291"/>
      <c r="ERN45" s="292"/>
      <c r="ERO45" s="292"/>
      <c r="ERP45" s="292"/>
      <c r="ERQ45" s="291"/>
      <c r="ERR45" s="292"/>
      <c r="ERS45" s="292"/>
      <c r="ERT45" s="292"/>
      <c r="ERU45" s="291"/>
      <c r="ERV45" s="292"/>
      <c r="ERW45" s="292"/>
      <c r="ERX45" s="292"/>
      <c r="ERY45" s="291"/>
      <c r="ERZ45" s="292"/>
      <c r="ESA45" s="292"/>
      <c r="ESB45" s="292"/>
      <c r="ESC45" s="291"/>
      <c r="ESD45" s="292"/>
      <c r="ESE45" s="292"/>
      <c r="ESF45" s="292"/>
      <c r="ESG45" s="291"/>
      <c r="ESH45" s="292"/>
      <c r="ESI45" s="292"/>
      <c r="ESJ45" s="292"/>
      <c r="ESK45" s="291"/>
      <c r="ESL45" s="292"/>
      <c r="ESM45" s="292"/>
      <c r="ESN45" s="292"/>
      <c r="ESO45" s="291"/>
      <c r="ESP45" s="292"/>
      <c r="ESQ45" s="292"/>
      <c r="ESR45" s="292"/>
      <c r="ESS45" s="291"/>
      <c r="EST45" s="292"/>
      <c r="ESU45" s="292"/>
      <c r="ESV45" s="292"/>
      <c r="ESW45" s="291"/>
      <c r="ESX45" s="292"/>
      <c r="ESY45" s="292"/>
      <c r="ESZ45" s="292"/>
      <c r="ETA45" s="291"/>
      <c r="ETB45" s="292"/>
      <c r="ETC45" s="292"/>
      <c r="ETD45" s="292"/>
      <c r="ETE45" s="291"/>
      <c r="ETF45" s="292"/>
      <c r="ETG45" s="292"/>
      <c r="ETH45" s="292"/>
      <c r="ETI45" s="291"/>
      <c r="ETJ45" s="292"/>
      <c r="ETK45" s="292"/>
      <c r="ETL45" s="292"/>
      <c r="ETM45" s="291"/>
      <c r="ETN45" s="292"/>
      <c r="ETO45" s="292"/>
      <c r="ETP45" s="292"/>
      <c r="ETQ45" s="291"/>
      <c r="ETR45" s="292"/>
      <c r="ETS45" s="292"/>
      <c r="ETT45" s="292"/>
      <c r="ETU45" s="291"/>
      <c r="ETV45" s="292"/>
      <c r="ETW45" s="292"/>
      <c r="ETX45" s="292"/>
      <c r="ETY45" s="291"/>
      <c r="ETZ45" s="292"/>
      <c r="EUA45" s="292"/>
      <c r="EUB45" s="292"/>
      <c r="EUC45" s="291"/>
      <c r="EUD45" s="292"/>
      <c r="EUE45" s="292"/>
      <c r="EUF45" s="292"/>
      <c r="EUG45" s="291"/>
      <c r="EUH45" s="292"/>
      <c r="EUI45" s="292"/>
      <c r="EUJ45" s="292"/>
      <c r="EUK45" s="291"/>
      <c r="EUL45" s="292"/>
      <c r="EUM45" s="292"/>
      <c r="EUN45" s="292"/>
      <c r="EUO45" s="291"/>
      <c r="EUP45" s="292"/>
      <c r="EUQ45" s="292"/>
      <c r="EUR45" s="292"/>
      <c r="EUS45" s="291"/>
      <c r="EUT45" s="292"/>
      <c r="EUU45" s="292"/>
      <c r="EUV45" s="292"/>
      <c r="EUW45" s="291"/>
      <c r="EUX45" s="292"/>
      <c r="EUY45" s="292"/>
      <c r="EUZ45" s="292"/>
      <c r="EVA45" s="291"/>
      <c r="EVB45" s="292"/>
      <c r="EVC45" s="292"/>
      <c r="EVD45" s="292"/>
      <c r="EVE45" s="291"/>
      <c r="EVF45" s="292"/>
      <c r="EVG45" s="292"/>
      <c r="EVH45" s="292"/>
      <c r="EVI45" s="291"/>
      <c r="EVJ45" s="292"/>
      <c r="EVK45" s="292"/>
      <c r="EVL45" s="292"/>
      <c r="EVM45" s="291"/>
      <c r="EVN45" s="292"/>
      <c r="EVO45" s="292"/>
      <c r="EVP45" s="292"/>
      <c r="EVQ45" s="291"/>
      <c r="EVR45" s="292"/>
      <c r="EVS45" s="292"/>
      <c r="EVT45" s="292"/>
      <c r="EVU45" s="291"/>
      <c r="EVV45" s="292"/>
      <c r="EVW45" s="292"/>
      <c r="EVX45" s="292"/>
      <c r="EVY45" s="291"/>
      <c r="EVZ45" s="292"/>
      <c r="EWA45" s="292"/>
      <c r="EWB45" s="292"/>
      <c r="EWC45" s="291"/>
      <c r="EWD45" s="292"/>
      <c r="EWE45" s="292"/>
      <c r="EWF45" s="292"/>
      <c r="EWG45" s="291"/>
      <c r="EWH45" s="292"/>
      <c r="EWI45" s="292"/>
      <c r="EWJ45" s="292"/>
      <c r="EWK45" s="291"/>
      <c r="EWL45" s="292"/>
      <c r="EWM45" s="292"/>
      <c r="EWN45" s="292"/>
      <c r="EWO45" s="291"/>
      <c r="EWP45" s="292"/>
      <c r="EWQ45" s="292"/>
      <c r="EWR45" s="292"/>
      <c r="EWS45" s="291"/>
      <c r="EWT45" s="292"/>
      <c r="EWU45" s="292"/>
      <c r="EWV45" s="292"/>
      <c r="EWW45" s="291"/>
      <c r="EWX45" s="292"/>
      <c r="EWY45" s="292"/>
      <c r="EWZ45" s="292"/>
      <c r="EXA45" s="291"/>
      <c r="EXB45" s="292"/>
      <c r="EXC45" s="292"/>
      <c r="EXD45" s="292"/>
      <c r="EXE45" s="291"/>
      <c r="EXF45" s="292"/>
      <c r="EXG45" s="292"/>
      <c r="EXH45" s="292"/>
      <c r="EXI45" s="291"/>
      <c r="EXJ45" s="292"/>
      <c r="EXK45" s="292"/>
      <c r="EXL45" s="292"/>
      <c r="EXM45" s="291"/>
      <c r="EXN45" s="292"/>
      <c r="EXO45" s="292"/>
      <c r="EXP45" s="292"/>
      <c r="EXQ45" s="291"/>
      <c r="EXR45" s="292"/>
      <c r="EXS45" s="292"/>
      <c r="EXT45" s="292"/>
      <c r="EXU45" s="291"/>
      <c r="EXV45" s="292"/>
      <c r="EXW45" s="292"/>
      <c r="EXX45" s="292"/>
      <c r="EXY45" s="291"/>
      <c r="EXZ45" s="292"/>
      <c r="EYA45" s="292"/>
      <c r="EYB45" s="292"/>
      <c r="EYC45" s="291"/>
      <c r="EYD45" s="292"/>
      <c r="EYE45" s="292"/>
      <c r="EYF45" s="292"/>
      <c r="EYG45" s="291"/>
      <c r="EYH45" s="292"/>
      <c r="EYI45" s="292"/>
      <c r="EYJ45" s="292"/>
      <c r="EYK45" s="291"/>
      <c r="EYL45" s="292"/>
      <c r="EYM45" s="292"/>
      <c r="EYN45" s="292"/>
      <c r="EYO45" s="291"/>
      <c r="EYP45" s="292"/>
      <c r="EYQ45" s="292"/>
      <c r="EYR45" s="292"/>
      <c r="EYS45" s="291"/>
      <c r="EYT45" s="292"/>
      <c r="EYU45" s="292"/>
      <c r="EYV45" s="292"/>
      <c r="EYW45" s="291"/>
      <c r="EYX45" s="292"/>
      <c r="EYY45" s="292"/>
      <c r="EYZ45" s="292"/>
      <c r="EZA45" s="291"/>
      <c r="EZB45" s="292"/>
      <c r="EZC45" s="292"/>
      <c r="EZD45" s="292"/>
      <c r="EZE45" s="291"/>
      <c r="EZF45" s="292"/>
      <c r="EZG45" s="292"/>
      <c r="EZH45" s="292"/>
      <c r="EZI45" s="291"/>
      <c r="EZJ45" s="292"/>
      <c r="EZK45" s="292"/>
      <c r="EZL45" s="292"/>
      <c r="EZM45" s="291"/>
      <c r="EZN45" s="292"/>
      <c r="EZO45" s="292"/>
      <c r="EZP45" s="292"/>
      <c r="EZQ45" s="291"/>
      <c r="EZR45" s="292"/>
      <c r="EZS45" s="292"/>
      <c r="EZT45" s="292"/>
      <c r="EZU45" s="291"/>
      <c r="EZV45" s="292"/>
      <c r="EZW45" s="292"/>
      <c r="EZX45" s="292"/>
      <c r="EZY45" s="291"/>
      <c r="EZZ45" s="292"/>
      <c r="FAA45" s="292"/>
      <c r="FAB45" s="292"/>
      <c r="FAC45" s="291"/>
      <c r="FAD45" s="292"/>
      <c r="FAE45" s="292"/>
      <c r="FAF45" s="292"/>
      <c r="FAG45" s="291"/>
      <c r="FAH45" s="292"/>
      <c r="FAI45" s="292"/>
      <c r="FAJ45" s="292"/>
      <c r="FAK45" s="291"/>
      <c r="FAL45" s="292"/>
      <c r="FAM45" s="292"/>
      <c r="FAN45" s="292"/>
      <c r="FAO45" s="291"/>
      <c r="FAP45" s="292"/>
      <c r="FAQ45" s="292"/>
      <c r="FAR45" s="292"/>
      <c r="FAS45" s="291"/>
      <c r="FAT45" s="292"/>
      <c r="FAU45" s="292"/>
      <c r="FAV45" s="292"/>
      <c r="FAW45" s="291"/>
      <c r="FAX45" s="292"/>
      <c r="FAY45" s="292"/>
      <c r="FAZ45" s="292"/>
      <c r="FBA45" s="291"/>
      <c r="FBB45" s="292"/>
      <c r="FBC45" s="292"/>
      <c r="FBD45" s="292"/>
      <c r="FBE45" s="291"/>
      <c r="FBF45" s="292"/>
      <c r="FBG45" s="292"/>
      <c r="FBH45" s="292"/>
      <c r="FBI45" s="291"/>
      <c r="FBJ45" s="292"/>
      <c r="FBK45" s="292"/>
      <c r="FBL45" s="292"/>
      <c r="FBM45" s="291"/>
      <c r="FBN45" s="292"/>
      <c r="FBO45" s="292"/>
      <c r="FBP45" s="292"/>
      <c r="FBQ45" s="291"/>
      <c r="FBR45" s="292"/>
      <c r="FBS45" s="292"/>
      <c r="FBT45" s="292"/>
      <c r="FBU45" s="291"/>
      <c r="FBV45" s="292"/>
      <c r="FBW45" s="292"/>
      <c r="FBX45" s="292"/>
      <c r="FBY45" s="291"/>
      <c r="FBZ45" s="292"/>
      <c r="FCA45" s="292"/>
      <c r="FCB45" s="292"/>
      <c r="FCC45" s="291"/>
      <c r="FCD45" s="292"/>
      <c r="FCE45" s="292"/>
      <c r="FCF45" s="292"/>
      <c r="FCG45" s="291"/>
      <c r="FCH45" s="292"/>
      <c r="FCI45" s="292"/>
      <c r="FCJ45" s="292"/>
      <c r="FCK45" s="291"/>
      <c r="FCL45" s="292"/>
      <c r="FCM45" s="292"/>
      <c r="FCN45" s="292"/>
      <c r="FCO45" s="291"/>
      <c r="FCP45" s="292"/>
      <c r="FCQ45" s="292"/>
      <c r="FCR45" s="292"/>
      <c r="FCS45" s="291"/>
      <c r="FCT45" s="292"/>
      <c r="FCU45" s="292"/>
      <c r="FCV45" s="292"/>
      <c r="FCW45" s="291"/>
      <c r="FCX45" s="292"/>
      <c r="FCY45" s="292"/>
      <c r="FCZ45" s="292"/>
      <c r="FDA45" s="291"/>
      <c r="FDB45" s="292"/>
      <c r="FDC45" s="292"/>
      <c r="FDD45" s="292"/>
      <c r="FDE45" s="291"/>
      <c r="FDF45" s="292"/>
      <c r="FDG45" s="292"/>
      <c r="FDH45" s="292"/>
      <c r="FDI45" s="291"/>
      <c r="FDJ45" s="292"/>
      <c r="FDK45" s="292"/>
      <c r="FDL45" s="292"/>
      <c r="FDM45" s="291"/>
      <c r="FDN45" s="292"/>
      <c r="FDO45" s="292"/>
      <c r="FDP45" s="292"/>
      <c r="FDQ45" s="291"/>
      <c r="FDR45" s="292"/>
      <c r="FDS45" s="292"/>
      <c r="FDT45" s="292"/>
      <c r="FDU45" s="291"/>
      <c r="FDV45" s="292"/>
      <c r="FDW45" s="292"/>
      <c r="FDX45" s="292"/>
      <c r="FDY45" s="291"/>
      <c r="FDZ45" s="292"/>
      <c r="FEA45" s="292"/>
      <c r="FEB45" s="292"/>
      <c r="FEC45" s="291"/>
      <c r="FED45" s="292"/>
      <c r="FEE45" s="292"/>
      <c r="FEF45" s="292"/>
      <c r="FEG45" s="291"/>
      <c r="FEH45" s="292"/>
      <c r="FEI45" s="292"/>
      <c r="FEJ45" s="292"/>
      <c r="FEK45" s="291"/>
      <c r="FEL45" s="292"/>
      <c r="FEM45" s="292"/>
      <c r="FEN45" s="292"/>
      <c r="FEO45" s="291"/>
      <c r="FEP45" s="292"/>
      <c r="FEQ45" s="292"/>
      <c r="FER45" s="292"/>
      <c r="FES45" s="291"/>
      <c r="FET45" s="292"/>
      <c r="FEU45" s="292"/>
      <c r="FEV45" s="292"/>
      <c r="FEW45" s="291"/>
      <c r="FEX45" s="292"/>
      <c r="FEY45" s="292"/>
      <c r="FEZ45" s="292"/>
      <c r="FFA45" s="291"/>
      <c r="FFB45" s="292"/>
      <c r="FFC45" s="292"/>
      <c r="FFD45" s="292"/>
      <c r="FFE45" s="291"/>
      <c r="FFF45" s="292"/>
      <c r="FFG45" s="292"/>
      <c r="FFH45" s="292"/>
      <c r="FFI45" s="291"/>
      <c r="FFJ45" s="292"/>
      <c r="FFK45" s="292"/>
      <c r="FFL45" s="292"/>
      <c r="FFM45" s="291"/>
      <c r="FFN45" s="292"/>
      <c r="FFO45" s="292"/>
      <c r="FFP45" s="292"/>
      <c r="FFQ45" s="291"/>
      <c r="FFR45" s="292"/>
      <c r="FFS45" s="292"/>
      <c r="FFT45" s="292"/>
      <c r="FFU45" s="291"/>
      <c r="FFV45" s="292"/>
      <c r="FFW45" s="292"/>
      <c r="FFX45" s="292"/>
      <c r="FFY45" s="291"/>
      <c r="FFZ45" s="292"/>
      <c r="FGA45" s="292"/>
      <c r="FGB45" s="292"/>
      <c r="FGC45" s="291"/>
      <c r="FGD45" s="292"/>
      <c r="FGE45" s="292"/>
      <c r="FGF45" s="292"/>
      <c r="FGG45" s="291"/>
      <c r="FGH45" s="292"/>
      <c r="FGI45" s="292"/>
      <c r="FGJ45" s="292"/>
      <c r="FGK45" s="291"/>
      <c r="FGL45" s="292"/>
      <c r="FGM45" s="292"/>
      <c r="FGN45" s="292"/>
      <c r="FGO45" s="291"/>
      <c r="FGP45" s="292"/>
      <c r="FGQ45" s="292"/>
      <c r="FGR45" s="292"/>
      <c r="FGS45" s="291"/>
      <c r="FGT45" s="292"/>
      <c r="FGU45" s="292"/>
      <c r="FGV45" s="292"/>
      <c r="FGW45" s="291"/>
      <c r="FGX45" s="292"/>
      <c r="FGY45" s="292"/>
      <c r="FGZ45" s="292"/>
      <c r="FHA45" s="291"/>
      <c r="FHB45" s="292"/>
      <c r="FHC45" s="292"/>
      <c r="FHD45" s="292"/>
      <c r="FHE45" s="291"/>
      <c r="FHF45" s="292"/>
      <c r="FHG45" s="292"/>
      <c r="FHH45" s="292"/>
      <c r="FHI45" s="291"/>
      <c r="FHJ45" s="292"/>
      <c r="FHK45" s="292"/>
      <c r="FHL45" s="292"/>
      <c r="FHM45" s="291"/>
      <c r="FHN45" s="292"/>
      <c r="FHO45" s="292"/>
      <c r="FHP45" s="292"/>
      <c r="FHQ45" s="291"/>
      <c r="FHR45" s="292"/>
      <c r="FHS45" s="292"/>
      <c r="FHT45" s="292"/>
      <c r="FHU45" s="291"/>
      <c r="FHV45" s="292"/>
      <c r="FHW45" s="292"/>
      <c r="FHX45" s="292"/>
      <c r="FHY45" s="291"/>
      <c r="FHZ45" s="292"/>
      <c r="FIA45" s="292"/>
      <c r="FIB45" s="292"/>
      <c r="FIC45" s="291"/>
      <c r="FID45" s="292"/>
      <c r="FIE45" s="292"/>
      <c r="FIF45" s="292"/>
      <c r="FIG45" s="291"/>
      <c r="FIH45" s="292"/>
      <c r="FII45" s="292"/>
      <c r="FIJ45" s="292"/>
      <c r="FIK45" s="291"/>
      <c r="FIL45" s="292"/>
      <c r="FIM45" s="292"/>
      <c r="FIN45" s="292"/>
      <c r="FIO45" s="291"/>
      <c r="FIP45" s="292"/>
      <c r="FIQ45" s="292"/>
      <c r="FIR45" s="292"/>
      <c r="FIS45" s="291"/>
      <c r="FIT45" s="292"/>
      <c r="FIU45" s="292"/>
      <c r="FIV45" s="292"/>
      <c r="FIW45" s="291"/>
      <c r="FIX45" s="292"/>
      <c r="FIY45" s="292"/>
      <c r="FIZ45" s="292"/>
      <c r="FJA45" s="291"/>
      <c r="FJB45" s="292"/>
      <c r="FJC45" s="292"/>
      <c r="FJD45" s="292"/>
      <c r="FJE45" s="291"/>
      <c r="FJF45" s="292"/>
      <c r="FJG45" s="292"/>
      <c r="FJH45" s="292"/>
      <c r="FJI45" s="291"/>
      <c r="FJJ45" s="292"/>
      <c r="FJK45" s="292"/>
      <c r="FJL45" s="292"/>
      <c r="FJM45" s="291"/>
      <c r="FJN45" s="292"/>
      <c r="FJO45" s="292"/>
      <c r="FJP45" s="292"/>
      <c r="FJQ45" s="291"/>
      <c r="FJR45" s="292"/>
      <c r="FJS45" s="292"/>
      <c r="FJT45" s="292"/>
      <c r="FJU45" s="291"/>
      <c r="FJV45" s="292"/>
      <c r="FJW45" s="292"/>
      <c r="FJX45" s="292"/>
      <c r="FJY45" s="291"/>
      <c r="FJZ45" s="292"/>
      <c r="FKA45" s="292"/>
      <c r="FKB45" s="292"/>
      <c r="FKC45" s="291"/>
      <c r="FKD45" s="292"/>
      <c r="FKE45" s="292"/>
      <c r="FKF45" s="292"/>
      <c r="FKG45" s="291"/>
      <c r="FKH45" s="292"/>
      <c r="FKI45" s="292"/>
      <c r="FKJ45" s="292"/>
      <c r="FKK45" s="291"/>
      <c r="FKL45" s="292"/>
      <c r="FKM45" s="292"/>
      <c r="FKN45" s="292"/>
      <c r="FKO45" s="291"/>
      <c r="FKP45" s="292"/>
      <c r="FKQ45" s="292"/>
      <c r="FKR45" s="292"/>
      <c r="FKS45" s="291"/>
      <c r="FKT45" s="292"/>
      <c r="FKU45" s="292"/>
      <c r="FKV45" s="292"/>
      <c r="FKW45" s="291"/>
      <c r="FKX45" s="292"/>
      <c r="FKY45" s="292"/>
      <c r="FKZ45" s="292"/>
      <c r="FLA45" s="291"/>
      <c r="FLB45" s="292"/>
      <c r="FLC45" s="292"/>
      <c r="FLD45" s="292"/>
      <c r="FLE45" s="291"/>
      <c r="FLF45" s="292"/>
      <c r="FLG45" s="292"/>
      <c r="FLH45" s="292"/>
      <c r="FLI45" s="291"/>
      <c r="FLJ45" s="292"/>
      <c r="FLK45" s="292"/>
      <c r="FLL45" s="292"/>
      <c r="FLM45" s="291"/>
      <c r="FLN45" s="292"/>
      <c r="FLO45" s="292"/>
      <c r="FLP45" s="292"/>
      <c r="FLQ45" s="291"/>
      <c r="FLR45" s="292"/>
      <c r="FLS45" s="292"/>
      <c r="FLT45" s="292"/>
      <c r="FLU45" s="291"/>
      <c r="FLV45" s="292"/>
      <c r="FLW45" s="292"/>
      <c r="FLX45" s="292"/>
      <c r="FLY45" s="291"/>
      <c r="FLZ45" s="292"/>
      <c r="FMA45" s="292"/>
      <c r="FMB45" s="292"/>
      <c r="FMC45" s="291"/>
      <c r="FMD45" s="292"/>
      <c r="FME45" s="292"/>
      <c r="FMF45" s="292"/>
      <c r="FMG45" s="291"/>
      <c r="FMH45" s="292"/>
      <c r="FMI45" s="292"/>
      <c r="FMJ45" s="292"/>
      <c r="FMK45" s="291"/>
      <c r="FML45" s="292"/>
      <c r="FMM45" s="292"/>
      <c r="FMN45" s="292"/>
      <c r="FMO45" s="291"/>
      <c r="FMP45" s="292"/>
      <c r="FMQ45" s="292"/>
      <c r="FMR45" s="292"/>
      <c r="FMS45" s="291"/>
      <c r="FMT45" s="292"/>
      <c r="FMU45" s="292"/>
      <c r="FMV45" s="292"/>
      <c r="FMW45" s="291"/>
      <c r="FMX45" s="292"/>
      <c r="FMY45" s="292"/>
      <c r="FMZ45" s="292"/>
      <c r="FNA45" s="291"/>
      <c r="FNB45" s="292"/>
      <c r="FNC45" s="292"/>
      <c r="FND45" s="292"/>
      <c r="FNE45" s="291"/>
      <c r="FNF45" s="292"/>
      <c r="FNG45" s="292"/>
      <c r="FNH45" s="292"/>
      <c r="FNI45" s="291"/>
      <c r="FNJ45" s="292"/>
      <c r="FNK45" s="292"/>
      <c r="FNL45" s="292"/>
      <c r="FNM45" s="291"/>
      <c r="FNN45" s="292"/>
      <c r="FNO45" s="292"/>
      <c r="FNP45" s="292"/>
      <c r="FNQ45" s="291"/>
      <c r="FNR45" s="292"/>
      <c r="FNS45" s="292"/>
      <c r="FNT45" s="292"/>
      <c r="FNU45" s="291"/>
      <c r="FNV45" s="292"/>
      <c r="FNW45" s="292"/>
      <c r="FNX45" s="292"/>
      <c r="FNY45" s="291"/>
      <c r="FNZ45" s="292"/>
      <c r="FOA45" s="292"/>
      <c r="FOB45" s="292"/>
      <c r="FOC45" s="291"/>
      <c r="FOD45" s="292"/>
      <c r="FOE45" s="292"/>
      <c r="FOF45" s="292"/>
      <c r="FOG45" s="291"/>
      <c r="FOH45" s="292"/>
      <c r="FOI45" s="292"/>
      <c r="FOJ45" s="292"/>
      <c r="FOK45" s="291"/>
      <c r="FOL45" s="292"/>
      <c r="FOM45" s="292"/>
      <c r="FON45" s="292"/>
      <c r="FOO45" s="291"/>
      <c r="FOP45" s="292"/>
      <c r="FOQ45" s="292"/>
      <c r="FOR45" s="292"/>
      <c r="FOS45" s="291"/>
      <c r="FOT45" s="292"/>
      <c r="FOU45" s="292"/>
      <c r="FOV45" s="292"/>
      <c r="FOW45" s="291"/>
      <c r="FOX45" s="292"/>
      <c r="FOY45" s="292"/>
      <c r="FOZ45" s="292"/>
      <c r="FPA45" s="291"/>
      <c r="FPB45" s="292"/>
      <c r="FPC45" s="292"/>
      <c r="FPD45" s="292"/>
      <c r="FPE45" s="291"/>
      <c r="FPF45" s="292"/>
      <c r="FPG45" s="292"/>
      <c r="FPH45" s="292"/>
      <c r="FPI45" s="291"/>
      <c r="FPJ45" s="292"/>
      <c r="FPK45" s="292"/>
      <c r="FPL45" s="292"/>
      <c r="FPM45" s="291"/>
      <c r="FPN45" s="292"/>
      <c r="FPO45" s="292"/>
      <c r="FPP45" s="292"/>
      <c r="FPQ45" s="291"/>
      <c r="FPR45" s="292"/>
      <c r="FPS45" s="292"/>
      <c r="FPT45" s="292"/>
      <c r="FPU45" s="291"/>
      <c r="FPV45" s="292"/>
      <c r="FPW45" s="292"/>
      <c r="FPX45" s="292"/>
      <c r="FPY45" s="291"/>
      <c r="FPZ45" s="292"/>
      <c r="FQA45" s="292"/>
      <c r="FQB45" s="292"/>
      <c r="FQC45" s="291"/>
      <c r="FQD45" s="292"/>
      <c r="FQE45" s="292"/>
      <c r="FQF45" s="292"/>
      <c r="FQG45" s="291"/>
      <c r="FQH45" s="292"/>
      <c r="FQI45" s="292"/>
      <c r="FQJ45" s="292"/>
      <c r="FQK45" s="291"/>
      <c r="FQL45" s="292"/>
      <c r="FQM45" s="292"/>
      <c r="FQN45" s="292"/>
      <c r="FQO45" s="291"/>
      <c r="FQP45" s="292"/>
      <c r="FQQ45" s="292"/>
      <c r="FQR45" s="292"/>
      <c r="FQS45" s="291"/>
      <c r="FQT45" s="292"/>
      <c r="FQU45" s="292"/>
      <c r="FQV45" s="292"/>
      <c r="FQW45" s="291"/>
      <c r="FQX45" s="292"/>
      <c r="FQY45" s="292"/>
      <c r="FQZ45" s="292"/>
      <c r="FRA45" s="291"/>
      <c r="FRB45" s="292"/>
      <c r="FRC45" s="292"/>
      <c r="FRD45" s="292"/>
      <c r="FRE45" s="291"/>
      <c r="FRF45" s="292"/>
      <c r="FRG45" s="292"/>
      <c r="FRH45" s="292"/>
      <c r="FRI45" s="291"/>
      <c r="FRJ45" s="292"/>
      <c r="FRK45" s="292"/>
      <c r="FRL45" s="292"/>
      <c r="FRM45" s="291"/>
      <c r="FRN45" s="292"/>
      <c r="FRO45" s="292"/>
      <c r="FRP45" s="292"/>
      <c r="FRQ45" s="291"/>
      <c r="FRR45" s="292"/>
      <c r="FRS45" s="292"/>
      <c r="FRT45" s="292"/>
      <c r="FRU45" s="291"/>
      <c r="FRV45" s="292"/>
      <c r="FRW45" s="292"/>
      <c r="FRX45" s="292"/>
      <c r="FRY45" s="291"/>
      <c r="FRZ45" s="292"/>
      <c r="FSA45" s="292"/>
      <c r="FSB45" s="292"/>
      <c r="FSC45" s="291"/>
      <c r="FSD45" s="292"/>
      <c r="FSE45" s="292"/>
      <c r="FSF45" s="292"/>
      <c r="FSG45" s="291"/>
      <c r="FSH45" s="292"/>
      <c r="FSI45" s="292"/>
      <c r="FSJ45" s="292"/>
      <c r="FSK45" s="291"/>
      <c r="FSL45" s="292"/>
      <c r="FSM45" s="292"/>
      <c r="FSN45" s="292"/>
      <c r="FSO45" s="291"/>
      <c r="FSP45" s="292"/>
      <c r="FSQ45" s="292"/>
      <c r="FSR45" s="292"/>
      <c r="FSS45" s="291"/>
      <c r="FST45" s="292"/>
      <c r="FSU45" s="292"/>
      <c r="FSV45" s="292"/>
      <c r="FSW45" s="291"/>
      <c r="FSX45" s="292"/>
      <c r="FSY45" s="292"/>
      <c r="FSZ45" s="292"/>
      <c r="FTA45" s="291"/>
      <c r="FTB45" s="292"/>
      <c r="FTC45" s="292"/>
      <c r="FTD45" s="292"/>
      <c r="FTE45" s="291"/>
      <c r="FTF45" s="292"/>
      <c r="FTG45" s="292"/>
      <c r="FTH45" s="292"/>
      <c r="FTI45" s="291"/>
      <c r="FTJ45" s="292"/>
      <c r="FTK45" s="292"/>
      <c r="FTL45" s="292"/>
      <c r="FTM45" s="291"/>
      <c r="FTN45" s="292"/>
      <c r="FTO45" s="292"/>
      <c r="FTP45" s="292"/>
      <c r="FTQ45" s="291"/>
      <c r="FTR45" s="292"/>
      <c r="FTS45" s="292"/>
      <c r="FTT45" s="292"/>
      <c r="FTU45" s="291"/>
      <c r="FTV45" s="292"/>
      <c r="FTW45" s="292"/>
      <c r="FTX45" s="292"/>
      <c r="FTY45" s="291"/>
      <c r="FTZ45" s="292"/>
      <c r="FUA45" s="292"/>
      <c r="FUB45" s="292"/>
      <c r="FUC45" s="291"/>
      <c r="FUD45" s="292"/>
      <c r="FUE45" s="292"/>
      <c r="FUF45" s="292"/>
      <c r="FUG45" s="291"/>
      <c r="FUH45" s="292"/>
      <c r="FUI45" s="292"/>
      <c r="FUJ45" s="292"/>
      <c r="FUK45" s="291"/>
      <c r="FUL45" s="292"/>
      <c r="FUM45" s="292"/>
      <c r="FUN45" s="292"/>
      <c r="FUO45" s="291"/>
      <c r="FUP45" s="292"/>
      <c r="FUQ45" s="292"/>
      <c r="FUR45" s="292"/>
      <c r="FUS45" s="291"/>
      <c r="FUT45" s="292"/>
      <c r="FUU45" s="292"/>
      <c r="FUV45" s="292"/>
      <c r="FUW45" s="291"/>
      <c r="FUX45" s="292"/>
      <c r="FUY45" s="292"/>
      <c r="FUZ45" s="292"/>
      <c r="FVA45" s="291"/>
      <c r="FVB45" s="292"/>
      <c r="FVC45" s="292"/>
      <c r="FVD45" s="292"/>
      <c r="FVE45" s="291"/>
      <c r="FVF45" s="292"/>
      <c r="FVG45" s="292"/>
      <c r="FVH45" s="292"/>
      <c r="FVI45" s="291"/>
      <c r="FVJ45" s="292"/>
      <c r="FVK45" s="292"/>
      <c r="FVL45" s="292"/>
      <c r="FVM45" s="291"/>
      <c r="FVN45" s="292"/>
      <c r="FVO45" s="292"/>
      <c r="FVP45" s="292"/>
      <c r="FVQ45" s="291"/>
      <c r="FVR45" s="292"/>
      <c r="FVS45" s="292"/>
      <c r="FVT45" s="292"/>
      <c r="FVU45" s="291"/>
      <c r="FVV45" s="292"/>
      <c r="FVW45" s="292"/>
      <c r="FVX45" s="292"/>
      <c r="FVY45" s="291"/>
      <c r="FVZ45" s="292"/>
      <c r="FWA45" s="292"/>
      <c r="FWB45" s="292"/>
      <c r="FWC45" s="291"/>
      <c r="FWD45" s="292"/>
      <c r="FWE45" s="292"/>
      <c r="FWF45" s="292"/>
      <c r="FWG45" s="291"/>
      <c r="FWH45" s="292"/>
      <c r="FWI45" s="292"/>
      <c r="FWJ45" s="292"/>
      <c r="FWK45" s="291"/>
      <c r="FWL45" s="292"/>
      <c r="FWM45" s="292"/>
      <c r="FWN45" s="292"/>
      <c r="FWO45" s="291"/>
      <c r="FWP45" s="292"/>
      <c r="FWQ45" s="292"/>
      <c r="FWR45" s="292"/>
      <c r="FWS45" s="291"/>
      <c r="FWT45" s="292"/>
      <c r="FWU45" s="292"/>
      <c r="FWV45" s="292"/>
      <c r="FWW45" s="291"/>
      <c r="FWX45" s="292"/>
      <c r="FWY45" s="292"/>
      <c r="FWZ45" s="292"/>
      <c r="FXA45" s="291"/>
      <c r="FXB45" s="292"/>
      <c r="FXC45" s="292"/>
      <c r="FXD45" s="292"/>
      <c r="FXE45" s="291"/>
      <c r="FXF45" s="292"/>
      <c r="FXG45" s="292"/>
      <c r="FXH45" s="292"/>
      <c r="FXI45" s="291"/>
      <c r="FXJ45" s="292"/>
      <c r="FXK45" s="292"/>
      <c r="FXL45" s="292"/>
      <c r="FXM45" s="291"/>
      <c r="FXN45" s="292"/>
      <c r="FXO45" s="292"/>
      <c r="FXP45" s="292"/>
      <c r="FXQ45" s="291"/>
      <c r="FXR45" s="292"/>
      <c r="FXS45" s="292"/>
      <c r="FXT45" s="292"/>
      <c r="FXU45" s="291"/>
      <c r="FXV45" s="292"/>
      <c r="FXW45" s="292"/>
      <c r="FXX45" s="292"/>
      <c r="FXY45" s="291"/>
      <c r="FXZ45" s="292"/>
      <c r="FYA45" s="292"/>
      <c r="FYB45" s="292"/>
      <c r="FYC45" s="291"/>
      <c r="FYD45" s="292"/>
      <c r="FYE45" s="292"/>
      <c r="FYF45" s="292"/>
      <c r="FYG45" s="291"/>
      <c r="FYH45" s="292"/>
      <c r="FYI45" s="292"/>
      <c r="FYJ45" s="292"/>
      <c r="FYK45" s="291"/>
      <c r="FYL45" s="292"/>
      <c r="FYM45" s="292"/>
      <c r="FYN45" s="292"/>
      <c r="FYO45" s="291"/>
      <c r="FYP45" s="292"/>
      <c r="FYQ45" s="292"/>
      <c r="FYR45" s="292"/>
      <c r="FYS45" s="291"/>
      <c r="FYT45" s="292"/>
      <c r="FYU45" s="292"/>
      <c r="FYV45" s="292"/>
      <c r="FYW45" s="291"/>
      <c r="FYX45" s="292"/>
      <c r="FYY45" s="292"/>
      <c r="FYZ45" s="292"/>
      <c r="FZA45" s="291"/>
      <c r="FZB45" s="292"/>
      <c r="FZC45" s="292"/>
      <c r="FZD45" s="292"/>
      <c r="FZE45" s="291"/>
      <c r="FZF45" s="292"/>
      <c r="FZG45" s="292"/>
      <c r="FZH45" s="292"/>
      <c r="FZI45" s="291"/>
      <c r="FZJ45" s="292"/>
      <c r="FZK45" s="292"/>
      <c r="FZL45" s="292"/>
      <c r="FZM45" s="291"/>
      <c r="FZN45" s="292"/>
      <c r="FZO45" s="292"/>
      <c r="FZP45" s="292"/>
      <c r="FZQ45" s="291"/>
      <c r="FZR45" s="292"/>
      <c r="FZS45" s="292"/>
      <c r="FZT45" s="292"/>
      <c r="FZU45" s="291"/>
      <c r="FZV45" s="292"/>
      <c r="FZW45" s="292"/>
      <c r="FZX45" s="292"/>
      <c r="FZY45" s="291"/>
      <c r="FZZ45" s="292"/>
      <c r="GAA45" s="292"/>
      <c r="GAB45" s="292"/>
      <c r="GAC45" s="291"/>
      <c r="GAD45" s="292"/>
      <c r="GAE45" s="292"/>
      <c r="GAF45" s="292"/>
      <c r="GAG45" s="291"/>
      <c r="GAH45" s="292"/>
      <c r="GAI45" s="292"/>
      <c r="GAJ45" s="292"/>
      <c r="GAK45" s="291"/>
      <c r="GAL45" s="292"/>
      <c r="GAM45" s="292"/>
      <c r="GAN45" s="292"/>
      <c r="GAO45" s="291"/>
      <c r="GAP45" s="292"/>
      <c r="GAQ45" s="292"/>
      <c r="GAR45" s="292"/>
      <c r="GAS45" s="291"/>
      <c r="GAT45" s="292"/>
      <c r="GAU45" s="292"/>
      <c r="GAV45" s="292"/>
      <c r="GAW45" s="291"/>
      <c r="GAX45" s="292"/>
      <c r="GAY45" s="292"/>
      <c r="GAZ45" s="292"/>
      <c r="GBA45" s="291"/>
      <c r="GBB45" s="292"/>
      <c r="GBC45" s="292"/>
      <c r="GBD45" s="292"/>
      <c r="GBE45" s="291"/>
      <c r="GBF45" s="292"/>
      <c r="GBG45" s="292"/>
      <c r="GBH45" s="292"/>
      <c r="GBI45" s="291"/>
      <c r="GBJ45" s="292"/>
      <c r="GBK45" s="292"/>
      <c r="GBL45" s="292"/>
      <c r="GBM45" s="291"/>
      <c r="GBN45" s="292"/>
      <c r="GBO45" s="292"/>
      <c r="GBP45" s="292"/>
      <c r="GBQ45" s="291"/>
      <c r="GBR45" s="292"/>
      <c r="GBS45" s="292"/>
      <c r="GBT45" s="292"/>
      <c r="GBU45" s="291"/>
      <c r="GBV45" s="292"/>
      <c r="GBW45" s="292"/>
      <c r="GBX45" s="292"/>
      <c r="GBY45" s="291"/>
      <c r="GBZ45" s="292"/>
      <c r="GCA45" s="292"/>
      <c r="GCB45" s="292"/>
      <c r="GCC45" s="291"/>
      <c r="GCD45" s="292"/>
      <c r="GCE45" s="292"/>
      <c r="GCF45" s="292"/>
      <c r="GCG45" s="291"/>
      <c r="GCH45" s="292"/>
      <c r="GCI45" s="292"/>
      <c r="GCJ45" s="292"/>
      <c r="GCK45" s="291"/>
      <c r="GCL45" s="292"/>
      <c r="GCM45" s="292"/>
      <c r="GCN45" s="292"/>
      <c r="GCO45" s="291"/>
      <c r="GCP45" s="292"/>
      <c r="GCQ45" s="292"/>
      <c r="GCR45" s="292"/>
      <c r="GCS45" s="291"/>
      <c r="GCT45" s="292"/>
      <c r="GCU45" s="292"/>
      <c r="GCV45" s="292"/>
      <c r="GCW45" s="291"/>
      <c r="GCX45" s="292"/>
      <c r="GCY45" s="292"/>
      <c r="GCZ45" s="292"/>
      <c r="GDA45" s="291"/>
      <c r="GDB45" s="292"/>
      <c r="GDC45" s="292"/>
      <c r="GDD45" s="292"/>
      <c r="GDE45" s="291"/>
      <c r="GDF45" s="292"/>
      <c r="GDG45" s="292"/>
      <c r="GDH45" s="292"/>
      <c r="GDI45" s="291"/>
      <c r="GDJ45" s="292"/>
      <c r="GDK45" s="292"/>
      <c r="GDL45" s="292"/>
      <c r="GDM45" s="291"/>
      <c r="GDN45" s="292"/>
      <c r="GDO45" s="292"/>
      <c r="GDP45" s="292"/>
      <c r="GDQ45" s="291"/>
      <c r="GDR45" s="292"/>
      <c r="GDS45" s="292"/>
      <c r="GDT45" s="292"/>
      <c r="GDU45" s="291"/>
      <c r="GDV45" s="292"/>
      <c r="GDW45" s="292"/>
      <c r="GDX45" s="292"/>
      <c r="GDY45" s="291"/>
      <c r="GDZ45" s="292"/>
      <c r="GEA45" s="292"/>
      <c r="GEB45" s="292"/>
      <c r="GEC45" s="291"/>
      <c r="GED45" s="292"/>
      <c r="GEE45" s="292"/>
      <c r="GEF45" s="292"/>
      <c r="GEG45" s="291"/>
      <c r="GEH45" s="292"/>
      <c r="GEI45" s="292"/>
      <c r="GEJ45" s="292"/>
      <c r="GEK45" s="291"/>
      <c r="GEL45" s="292"/>
      <c r="GEM45" s="292"/>
      <c r="GEN45" s="292"/>
      <c r="GEO45" s="291"/>
      <c r="GEP45" s="292"/>
      <c r="GEQ45" s="292"/>
      <c r="GER45" s="292"/>
      <c r="GES45" s="291"/>
      <c r="GET45" s="292"/>
      <c r="GEU45" s="292"/>
      <c r="GEV45" s="292"/>
      <c r="GEW45" s="291"/>
      <c r="GEX45" s="292"/>
      <c r="GEY45" s="292"/>
      <c r="GEZ45" s="292"/>
      <c r="GFA45" s="291"/>
      <c r="GFB45" s="292"/>
      <c r="GFC45" s="292"/>
      <c r="GFD45" s="292"/>
      <c r="GFE45" s="291"/>
      <c r="GFF45" s="292"/>
      <c r="GFG45" s="292"/>
      <c r="GFH45" s="292"/>
      <c r="GFI45" s="291"/>
      <c r="GFJ45" s="292"/>
      <c r="GFK45" s="292"/>
      <c r="GFL45" s="292"/>
      <c r="GFM45" s="291"/>
      <c r="GFN45" s="292"/>
      <c r="GFO45" s="292"/>
      <c r="GFP45" s="292"/>
      <c r="GFQ45" s="291"/>
      <c r="GFR45" s="292"/>
      <c r="GFS45" s="292"/>
      <c r="GFT45" s="292"/>
      <c r="GFU45" s="291"/>
      <c r="GFV45" s="292"/>
      <c r="GFW45" s="292"/>
      <c r="GFX45" s="292"/>
      <c r="GFY45" s="291"/>
      <c r="GFZ45" s="292"/>
      <c r="GGA45" s="292"/>
      <c r="GGB45" s="292"/>
      <c r="GGC45" s="291"/>
      <c r="GGD45" s="292"/>
      <c r="GGE45" s="292"/>
      <c r="GGF45" s="292"/>
      <c r="GGG45" s="291"/>
      <c r="GGH45" s="292"/>
      <c r="GGI45" s="292"/>
      <c r="GGJ45" s="292"/>
      <c r="GGK45" s="291"/>
      <c r="GGL45" s="292"/>
      <c r="GGM45" s="292"/>
      <c r="GGN45" s="292"/>
      <c r="GGO45" s="291"/>
      <c r="GGP45" s="292"/>
      <c r="GGQ45" s="292"/>
      <c r="GGR45" s="292"/>
      <c r="GGS45" s="291"/>
      <c r="GGT45" s="292"/>
      <c r="GGU45" s="292"/>
      <c r="GGV45" s="292"/>
      <c r="GGW45" s="291"/>
      <c r="GGX45" s="292"/>
      <c r="GGY45" s="292"/>
      <c r="GGZ45" s="292"/>
      <c r="GHA45" s="291"/>
      <c r="GHB45" s="292"/>
      <c r="GHC45" s="292"/>
      <c r="GHD45" s="292"/>
      <c r="GHE45" s="291"/>
      <c r="GHF45" s="292"/>
      <c r="GHG45" s="292"/>
      <c r="GHH45" s="292"/>
      <c r="GHI45" s="291"/>
      <c r="GHJ45" s="292"/>
      <c r="GHK45" s="292"/>
      <c r="GHL45" s="292"/>
      <c r="GHM45" s="291"/>
      <c r="GHN45" s="292"/>
      <c r="GHO45" s="292"/>
      <c r="GHP45" s="292"/>
      <c r="GHQ45" s="291"/>
      <c r="GHR45" s="292"/>
      <c r="GHS45" s="292"/>
      <c r="GHT45" s="292"/>
      <c r="GHU45" s="291"/>
      <c r="GHV45" s="292"/>
      <c r="GHW45" s="292"/>
      <c r="GHX45" s="292"/>
      <c r="GHY45" s="291"/>
      <c r="GHZ45" s="292"/>
      <c r="GIA45" s="292"/>
      <c r="GIB45" s="292"/>
      <c r="GIC45" s="291"/>
      <c r="GID45" s="292"/>
      <c r="GIE45" s="292"/>
      <c r="GIF45" s="292"/>
      <c r="GIG45" s="291"/>
      <c r="GIH45" s="292"/>
      <c r="GII45" s="292"/>
      <c r="GIJ45" s="292"/>
      <c r="GIK45" s="291"/>
      <c r="GIL45" s="292"/>
      <c r="GIM45" s="292"/>
      <c r="GIN45" s="292"/>
      <c r="GIO45" s="291"/>
      <c r="GIP45" s="292"/>
      <c r="GIQ45" s="292"/>
      <c r="GIR45" s="292"/>
      <c r="GIS45" s="291"/>
      <c r="GIT45" s="292"/>
      <c r="GIU45" s="292"/>
      <c r="GIV45" s="292"/>
      <c r="GIW45" s="291"/>
      <c r="GIX45" s="292"/>
      <c r="GIY45" s="292"/>
      <c r="GIZ45" s="292"/>
      <c r="GJA45" s="291"/>
      <c r="GJB45" s="292"/>
      <c r="GJC45" s="292"/>
      <c r="GJD45" s="292"/>
      <c r="GJE45" s="291"/>
      <c r="GJF45" s="292"/>
      <c r="GJG45" s="292"/>
      <c r="GJH45" s="292"/>
      <c r="GJI45" s="291"/>
      <c r="GJJ45" s="292"/>
      <c r="GJK45" s="292"/>
      <c r="GJL45" s="292"/>
      <c r="GJM45" s="291"/>
      <c r="GJN45" s="292"/>
      <c r="GJO45" s="292"/>
      <c r="GJP45" s="292"/>
      <c r="GJQ45" s="291"/>
      <c r="GJR45" s="292"/>
      <c r="GJS45" s="292"/>
      <c r="GJT45" s="292"/>
      <c r="GJU45" s="291"/>
      <c r="GJV45" s="292"/>
      <c r="GJW45" s="292"/>
      <c r="GJX45" s="292"/>
      <c r="GJY45" s="291"/>
      <c r="GJZ45" s="292"/>
      <c r="GKA45" s="292"/>
      <c r="GKB45" s="292"/>
      <c r="GKC45" s="291"/>
      <c r="GKD45" s="292"/>
      <c r="GKE45" s="292"/>
      <c r="GKF45" s="292"/>
      <c r="GKG45" s="291"/>
      <c r="GKH45" s="292"/>
      <c r="GKI45" s="292"/>
      <c r="GKJ45" s="292"/>
      <c r="GKK45" s="291"/>
      <c r="GKL45" s="292"/>
      <c r="GKM45" s="292"/>
      <c r="GKN45" s="292"/>
      <c r="GKO45" s="291"/>
      <c r="GKP45" s="292"/>
      <c r="GKQ45" s="292"/>
      <c r="GKR45" s="292"/>
      <c r="GKS45" s="291"/>
      <c r="GKT45" s="292"/>
      <c r="GKU45" s="292"/>
      <c r="GKV45" s="292"/>
      <c r="GKW45" s="291"/>
      <c r="GKX45" s="292"/>
      <c r="GKY45" s="292"/>
      <c r="GKZ45" s="292"/>
      <c r="GLA45" s="291"/>
      <c r="GLB45" s="292"/>
      <c r="GLC45" s="292"/>
      <c r="GLD45" s="292"/>
      <c r="GLE45" s="291"/>
      <c r="GLF45" s="292"/>
      <c r="GLG45" s="292"/>
      <c r="GLH45" s="292"/>
      <c r="GLI45" s="291"/>
      <c r="GLJ45" s="292"/>
      <c r="GLK45" s="292"/>
      <c r="GLL45" s="292"/>
      <c r="GLM45" s="291"/>
      <c r="GLN45" s="292"/>
      <c r="GLO45" s="292"/>
      <c r="GLP45" s="292"/>
      <c r="GLQ45" s="291"/>
      <c r="GLR45" s="292"/>
      <c r="GLS45" s="292"/>
      <c r="GLT45" s="292"/>
      <c r="GLU45" s="291"/>
      <c r="GLV45" s="292"/>
      <c r="GLW45" s="292"/>
      <c r="GLX45" s="292"/>
      <c r="GLY45" s="291"/>
      <c r="GLZ45" s="292"/>
      <c r="GMA45" s="292"/>
      <c r="GMB45" s="292"/>
      <c r="GMC45" s="291"/>
      <c r="GMD45" s="292"/>
      <c r="GME45" s="292"/>
      <c r="GMF45" s="292"/>
      <c r="GMG45" s="291"/>
      <c r="GMH45" s="292"/>
      <c r="GMI45" s="292"/>
      <c r="GMJ45" s="292"/>
      <c r="GMK45" s="291"/>
      <c r="GML45" s="292"/>
      <c r="GMM45" s="292"/>
      <c r="GMN45" s="292"/>
      <c r="GMO45" s="291"/>
      <c r="GMP45" s="292"/>
      <c r="GMQ45" s="292"/>
      <c r="GMR45" s="292"/>
      <c r="GMS45" s="291"/>
      <c r="GMT45" s="292"/>
      <c r="GMU45" s="292"/>
      <c r="GMV45" s="292"/>
      <c r="GMW45" s="291"/>
      <c r="GMX45" s="292"/>
      <c r="GMY45" s="292"/>
      <c r="GMZ45" s="292"/>
      <c r="GNA45" s="291"/>
      <c r="GNB45" s="292"/>
      <c r="GNC45" s="292"/>
      <c r="GND45" s="292"/>
      <c r="GNE45" s="291"/>
      <c r="GNF45" s="292"/>
      <c r="GNG45" s="292"/>
      <c r="GNH45" s="292"/>
      <c r="GNI45" s="291"/>
      <c r="GNJ45" s="292"/>
      <c r="GNK45" s="292"/>
      <c r="GNL45" s="292"/>
      <c r="GNM45" s="291"/>
      <c r="GNN45" s="292"/>
      <c r="GNO45" s="292"/>
      <c r="GNP45" s="292"/>
      <c r="GNQ45" s="291"/>
      <c r="GNR45" s="292"/>
      <c r="GNS45" s="292"/>
      <c r="GNT45" s="292"/>
      <c r="GNU45" s="291"/>
      <c r="GNV45" s="292"/>
      <c r="GNW45" s="292"/>
      <c r="GNX45" s="292"/>
      <c r="GNY45" s="291"/>
      <c r="GNZ45" s="292"/>
      <c r="GOA45" s="292"/>
      <c r="GOB45" s="292"/>
      <c r="GOC45" s="291"/>
      <c r="GOD45" s="292"/>
      <c r="GOE45" s="292"/>
      <c r="GOF45" s="292"/>
      <c r="GOG45" s="291"/>
      <c r="GOH45" s="292"/>
      <c r="GOI45" s="292"/>
      <c r="GOJ45" s="292"/>
      <c r="GOK45" s="291"/>
      <c r="GOL45" s="292"/>
      <c r="GOM45" s="292"/>
      <c r="GON45" s="292"/>
      <c r="GOO45" s="291"/>
      <c r="GOP45" s="292"/>
      <c r="GOQ45" s="292"/>
      <c r="GOR45" s="292"/>
      <c r="GOS45" s="291"/>
      <c r="GOT45" s="292"/>
      <c r="GOU45" s="292"/>
      <c r="GOV45" s="292"/>
      <c r="GOW45" s="291"/>
      <c r="GOX45" s="292"/>
      <c r="GOY45" s="292"/>
      <c r="GOZ45" s="292"/>
      <c r="GPA45" s="291"/>
      <c r="GPB45" s="292"/>
      <c r="GPC45" s="292"/>
      <c r="GPD45" s="292"/>
      <c r="GPE45" s="291"/>
      <c r="GPF45" s="292"/>
      <c r="GPG45" s="292"/>
      <c r="GPH45" s="292"/>
      <c r="GPI45" s="291"/>
      <c r="GPJ45" s="292"/>
      <c r="GPK45" s="292"/>
      <c r="GPL45" s="292"/>
      <c r="GPM45" s="291"/>
      <c r="GPN45" s="292"/>
      <c r="GPO45" s="292"/>
      <c r="GPP45" s="292"/>
      <c r="GPQ45" s="291"/>
      <c r="GPR45" s="292"/>
      <c r="GPS45" s="292"/>
      <c r="GPT45" s="292"/>
      <c r="GPU45" s="291"/>
      <c r="GPV45" s="292"/>
      <c r="GPW45" s="292"/>
      <c r="GPX45" s="292"/>
      <c r="GPY45" s="291"/>
      <c r="GPZ45" s="292"/>
      <c r="GQA45" s="292"/>
      <c r="GQB45" s="292"/>
      <c r="GQC45" s="291"/>
      <c r="GQD45" s="292"/>
      <c r="GQE45" s="292"/>
      <c r="GQF45" s="292"/>
      <c r="GQG45" s="291"/>
      <c r="GQH45" s="292"/>
      <c r="GQI45" s="292"/>
      <c r="GQJ45" s="292"/>
      <c r="GQK45" s="291"/>
      <c r="GQL45" s="292"/>
      <c r="GQM45" s="292"/>
      <c r="GQN45" s="292"/>
      <c r="GQO45" s="291"/>
      <c r="GQP45" s="292"/>
      <c r="GQQ45" s="292"/>
      <c r="GQR45" s="292"/>
      <c r="GQS45" s="291"/>
      <c r="GQT45" s="292"/>
      <c r="GQU45" s="292"/>
      <c r="GQV45" s="292"/>
      <c r="GQW45" s="291"/>
      <c r="GQX45" s="292"/>
      <c r="GQY45" s="292"/>
      <c r="GQZ45" s="292"/>
      <c r="GRA45" s="291"/>
      <c r="GRB45" s="292"/>
      <c r="GRC45" s="292"/>
      <c r="GRD45" s="292"/>
      <c r="GRE45" s="291"/>
      <c r="GRF45" s="292"/>
      <c r="GRG45" s="292"/>
      <c r="GRH45" s="292"/>
      <c r="GRI45" s="291"/>
      <c r="GRJ45" s="292"/>
      <c r="GRK45" s="292"/>
      <c r="GRL45" s="292"/>
      <c r="GRM45" s="291"/>
      <c r="GRN45" s="292"/>
      <c r="GRO45" s="292"/>
      <c r="GRP45" s="292"/>
      <c r="GRQ45" s="291"/>
      <c r="GRR45" s="292"/>
      <c r="GRS45" s="292"/>
      <c r="GRT45" s="292"/>
      <c r="GRU45" s="291"/>
      <c r="GRV45" s="292"/>
      <c r="GRW45" s="292"/>
      <c r="GRX45" s="292"/>
      <c r="GRY45" s="291"/>
      <c r="GRZ45" s="292"/>
      <c r="GSA45" s="292"/>
      <c r="GSB45" s="292"/>
      <c r="GSC45" s="291"/>
      <c r="GSD45" s="292"/>
      <c r="GSE45" s="292"/>
      <c r="GSF45" s="292"/>
      <c r="GSG45" s="291"/>
      <c r="GSH45" s="292"/>
      <c r="GSI45" s="292"/>
      <c r="GSJ45" s="292"/>
      <c r="GSK45" s="291"/>
      <c r="GSL45" s="292"/>
      <c r="GSM45" s="292"/>
      <c r="GSN45" s="292"/>
      <c r="GSO45" s="291"/>
      <c r="GSP45" s="292"/>
      <c r="GSQ45" s="292"/>
      <c r="GSR45" s="292"/>
      <c r="GSS45" s="291"/>
      <c r="GST45" s="292"/>
      <c r="GSU45" s="292"/>
      <c r="GSV45" s="292"/>
      <c r="GSW45" s="291"/>
      <c r="GSX45" s="292"/>
      <c r="GSY45" s="292"/>
      <c r="GSZ45" s="292"/>
      <c r="GTA45" s="291"/>
      <c r="GTB45" s="292"/>
      <c r="GTC45" s="292"/>
      <c r="GTD45" s="292"/>
      <c r="GTE45" s="291"/>
      <c r="GTF45" s="292"/>
      <c r="GTG45" s="292"/>
      <c r="GTH45" s="292"/>
      <c r="GTI45" s="291"/>
      <c r="GTJ45" s="292"/>
      <c r="GTK45" s="292"/>
      <c r="GTL45" s="292"/>
      <c r="GTM45" s="291"/>
      <c r="GTN45" s="292"/>
      <c r="GTO45" s="292"/>
      <c r="GTP45" s="292"/>
      <c r="GTQ45" s="291"/>
      <c r="GTR45" s="292"/>
      <c r="GTS45" s="292"/>
      <c r="GTT45" s="292"/>
      <c r="GTU45" s="291"/>
      <c r="GTV45" s="292"/>
      <c r="GTW45" s="292"/>
      <c r="GTX45" s="292"/>
      <c r="GTY45" s="291"/>
      <c r="GTZ45" s="292"/>
      <c r="GUA45" s="292"/>
      <c r="GUB45" s="292"/>
      <c r="GUC45" s="291"/>
      <c r="GUD45" s="292"/>
      <c r="GUE45" s="292"/>
      <c r="GUF45" s="292"/>
      <c r="GUG45" s="291"/>
      <c r="GUH45" s="292"/>
      <c r="GUI45" s="292"/>
      <c r="GUJ45" s="292"/>
      <c r="GUK45" s="291"/>
      <c r="GUL45" s="292"/>
      <c r="GUM45" s="292"/>
      <c r="GUN45" s="292"/>
      <c r="GUO45" s="291"/>
      <c r="GUP45" s="292"/>
      <c r="GUQ45" s="292"/>
      <c r="GUR45" s="292"/>
      <c r="GUS45" s="291"/>
      <c r="GUT45" s="292"/>
      <c r="GUU45" s="292"/>
      <c r="GUV45" s="292"/>
      <c r="GUW45" s="291"/>
      <c r="GUX45" s="292"/>
      <c r="GUY45" s="292"/>
      <c r="GUZ45" s="292"/>
      <c r="GVA45" s="291"/>
      <c r="GVB45" s="292"/>
      <c r="GVC45" s="292"/>
      <c r="GVD45" s="292"/>
      <c r="GVE45" s="291"/>
      <c r="GVF45" s="292"/>
      <c r="GVG45" s="292"/>
      <c r="GVH45" s="292"/>
      <c r="GVI45" s="291"/>
      <c r="GVJ45" s="292"/>
      <c r="GVK45" s="292"/>
      <c r="GVL45" s="292"/>
      <c r="GVM45" s="291"/>
      <c r="GVN45" s="292"/>
      <c r="GVO45" s="292"/>
      <c r="GVP45" s="292"/>
      <c r="GVQ45" s="291"/>
      <c r="GVR45" s="292"/>
      <c r="GVS45" s="292"/>
      <c r="GVT45" s="292"/>
      <c r="GVU45" s="291"/>
      <c r="GVV45" s="292"/>
      <c r="GVW45" s="292"/>
      <c r="GVX45" s="292"/>
      <c r="GVY45" s="291"/>
      <c r="GVZ45" s="292"/>
      <c r="GWA45" s="292"/>
      <c r="GWB45" s="292"/>
      <c r="GWC45" s="291"/>
      <c r="GWD45" s="292"/>
      <c r="GWE45" s="292"/>
      <c r="GWF45" s="292"/>
      <c r="GWG45" s="291"/>
      <c r="GWH45" s="292"/>
      <c r="GWI45" s="292"/>
      <c r="GWJ45" s="292"/>
      <c r="GWK45" s="291"/>
      <c r="GWL45" s="292"/>
      <c r="GWM45" s="292"/>
      <c r="GWN45" s="292"/>
      <c r="GWO45" s="291"/>
      <c r="GWP45" s="292"/>
      <c r="GWQ45" s="292"/>
      <c r="GWR45" s="292"/>
      <c r="GWS45" s="291"/>
      <c r="GWT45" s="292"/>
      <c r="GWU45" s="292"/>
      <c r="GWV45" s="292"/>
      <c r="GWW45" s="291"/>
      <c r="GWX45" s="292"/>
      <c r="GWY45" s="292"/>
      <c r="GWZ45" s="292"/>
      <c r="GXA45" s="291"/>
      <c r="GXB45" s="292"/>
      <c r="GXC45" s="292"/>
      <c r="GXD45" s="292"/>
      <c r="GXE45" s="291"/>
      <c r="GXF45" s="292"/>
      <c r="GXG45" s="292"/>
      <c r="GXH45" s="292"/>
      <c r="GXI45" s="291"/>
      <c r="GXJ45" s="292"/>
      <c r="GXK45" s="292"/>
      <c r="GXL45" s="292"/>
      <c r="GXM45" s="291"/>
      <c r="GXN45" s="292"/>
      <c r="GXO45" s="292"/>
      <c r="GXP45" s="292"/>
      <c r="GXQ45" s="291"/>
      <c r="GXR45" s="292"/>
      <c r="GXS45" s="292"/>
      <c r="GXT45" s="292"/>
      <c r="GXU45" s="291"/>
      <c r="GXV45" s="292"/>
      <c r="GXW45" s="292"/>
      <c r="GXX45" s="292"/>
      <c r="GXY45" s="291"/>
      <c r="GXZ45" s="292"/>
      <c r="GYA45" s="292"/>
      <c r="GYB45" s="292"/>
      <c r="GYC45" s="291"/>
      <c r="GYD45" s="292"/>
      <c r="GYE45" s="292"/>
      <c r="GYF45" s="292"/>
      <c r="GYG45" s="291"/>
      <c r="GYH45" s="292"/>
      <c r="GYI45" s="292"/>
      <c r="GYJ45" s="292"/>
      <c r="GYK45" s="291"/>
      <c r="GYL45" s="292"/>
      <c r="GYM45" s="292"/>
      <c r="GYN45" s="292"/>
      <c r="GYO45" s="291"/>
      <c r="GYP45" s="292"/>
      <c r="GYQ45" s="292"/>
      <c r="GYR45" s="292"/>
      <c r="GYS45" s="291"/>
      <c r="GYT45" s="292"/>
      <c r="GYU45" s="292"/>
      <c r="GYV45" s="292"/>
      <c r="GYW45" s="291"/>
      <c r="GYX45" s="292"/>
      <c r="GYY45" s="292"/>
      <c r="GYZ45" s="292"/>
      <c r="GZA45" s="291"/>
      <c r="GZB45" s="292"/>
      <c r="GZC45" s="292"/>
      <c r="GZD45" s="292"/>
      <c r="GZE45" s="291"/>
      <c r="GZF45" s="292"/>
      <c r="GZG45" s="292"/>
      <c r="GZH45" s="292"/>
      <c r="GZI45" s="291"/>
      <c r="GZJ45" s="292"/>
      <c r="GZK45" s="292"/>
      <c r="GZL45" s="292"/>
      <c r="GZM45" s="291"/>
      <c r="GZN45" s="292"/>
      <c r="GZO45" s="292"/>
      <c r="GZP45" s="292"/>
      <c r="GZQ45" s="291"/>
      <c r="GZR45" s="292"/>
      <c r="GZS45" s="292"/>
      <c r="GZT45" s="292"/>
      <c r="GZU45" s="291"/>
      <c r="GZV45" s="292"/>
      <c r="GZW45" s="292"/>
      <c r="GZX45" s="292"/>
      <c r="GZY45" s="291"/>
      <c r="GZZ45" s="292"/>
      <c r="HAA45" s="292"/>
      <c r="HAB45" s="292"/>
      <c r="HAC45" s="291"/>
      <c r="HAD45" s="292"/>
      <c r="HAE45" s="292"/>
      <c r="HAF45" s="292"/>
      <c r="HAG45" s="291"/>
      <c r="HAH45" s="292"/>
      <c r="HAI45" s="292"/>
      <c r="HAJ45" s="292"/>
      <c r="HAK45" s="291"/>
      <c r="HAL45" s="292"/>
      <c r="HAM45" s="292"/>
      <c r="HAN45" s="292"/>
      <c r="HAO45" s="291"/>
      <c r="HAP45" s="292"/>
      <c r="HAQ45" s="292"/>
      <c r="HAR45" s="292"/>
      <c r="HAS45" s="291"/>
      <c r="HAT45" s="292"/>
      <c r="HAU45" s="292"/>
      <c r="HAV45" s="292"/>
      <c r="HAW45" s="291"/>
      <c r="HAX45" s="292"/>
      <c r="HAY45" s="292"/>
      <c r="HAZ45" s="292"/>
      <c r="HBA45" s="291"/>
      <c r="HBB45" s="292"/>
      <c r="HBC45" s="292"/>
      <c r="HBD45" s="292"/>
      <c r="HBE45" s="291"/>
      <c r="HBF45" s="292"/>
      <c r="HBG45" s="292"/>
      <c r="HBH45" s="292"/>
      <c r="HBI45" s="291"/>
      <c r="HBJ45" s="292"/>
      <c r="HBK45" s="292"/>
      <c r="HBL45" s="292"/>
      <c r="HBM45" s="291"/>
      <c r="HBN45" s="292"/>
      <c r="HBO45" s="292"/>
      <c r="HBP45" s="292"/>
      <c r="HBQ45" s="291"/>
      <c r="HBR45" s="292"/>
      <c r="HBS45" s="292"/>
      <c r="HBT45" s="292"/>
      <c r="HBU45" s="291"/>
      <c r="HBV45" s="292"/>
      <c r="HBW45" s="292"/>
      <c r="HBX45" s="292"/>
      <c r="HBY45" s="291"/>
      <c r="HBZ45" s="292"/>
      <c r="HCA45" s="292"/>
      <c r="HCB45" s="292"/>
      <c r="HCC45" s="291"/>
      <c r="HCD45" s="292"/>
      <c r="HCE45" s="292"/>
      <c r="HCF45" s="292"/>
      <c r="HCG45" s="291"/>
      <c r="HCH45" s="292"/>
      <c r="HCI45" s="292"/>
      <c r="HCJ45" s="292"/>
      <c r="HCK45" s="291"/>
      <c r="HCL45" s="292"/>
      <c r="HCM45" s="292"/>
      <c r="HCN45" s="292"/>
      <c r="HCO45" s="291"/>
      <c r="HCP45" s="292"/>
      <c r="HCQ45" s="292"/>
      <c r="HCR45" s="292"/>
      <c r="HCS45" s="291"/>
      <c r="HCT45" s="292"/>
      <c r="HCU45" s="292"/>
      <c r="HCV45" s="292"/>
      <c r="HCW45" s="291"/>
      <c r="HCX45" s="292"/>
      <c r="HCY45" s="292"/>
      <c r="HCZ45" s="292"/>
      <c r="HDA45" s="291"/>
      <c r="HDB45" s="292"/>
      <c r="HDC45" s="292"/>
      <c r="HDD45" s="292"/>
      <c r="HDE45" s="291"/>
      <c r="HDF45" s="292"/>
      <c r="HDG45" s="292"/>
      <c r="HDH45" s="292"/>
      <c r="HDI45" s="291"/>
      <c r="HDJ45" s="292"/>
      <c r="HDK45" s="292"/>
      <c r="HDL45" s="292"/>
      <c r="HDM45" s="291"/>
      <c r="HDN45" s="292"/>
      <c r="HDO45" s="292"/>
      <c r="HDP45" s="292"/>
      <c r="HDQ45" s="291"/>
      <c r="HDR45" s="292"/>
      <c r="HDS45" s="292"/>
      <c r="HDT45" s="292"/>
      <c r="HDU45" s="291"/>
      <c r="HDV45" s="292"/>
      <c r="HDW45" s="292"/>
      <c r="HDX45" s="292"/>
      <c r="HDY45" s="291"/>
      <c r="HDZ45" s="292"/>
      <c r="HEA45" s="292"/>
      <c r="HEB45" s="292"/>
      <c r="HEC45" s="291"/>
      <c r="HED45" s="292"/>
      <c r="HEE45" s="292"/>
      <c r="HEF45" s="292"/>
      <c r="HEG45" s="291"/>
      <c r="HEH45" s="292"/>
      <c r="HEI45" s="292"/>
      <c r="HEJ45" s="292"/>
      <c r="HEK45" s="291"/>
      <c r="HEL45" s="292"/>
      <c r="HEM45" s="292"/>
      <c r="HEN45" s="292"/>
      <c r="HEO45" s="291"/>
      <c r="HEP45" s="292"/>
      <c r="HEQ45" s="292"/>
      <c r="HER45" s="292"/>
      <c r="HES45" s="291"/>
      <c r="HET45" s="292"/>
      <c r="HEU45" s="292"/>
      <c r="HEV45" s="292"/>
      <c r="HEW45" s="291"/>
      <c r="HEX45" s="292"/>
      <c r="HEY45" s="292"/>
      <c r="HEZ45" s="292"/>
      <c r="HFA45" s="291"/>
      <c r="HFB45" s="292"/>
      <c r="HFC45" s="292"/>
      <c r="HFD45" s="292"/>
      <c r="HFE45" s="291"/>
      <c r="HFF45" s="292"/>
      <c r="HFG45" s="292"/>
      <c r="HFH45" s="292"/>
      <c r="HFI45" s="291"/>
      <c r="HFJ45" s="292"/>
      <c r="HFK45" s="292"/>
      <c r="HFL45" s="292"/>
      <c r="HFM45" s="291"/>
      <c r="HFN45" s="292"/>
      <c r="HFO45" s="292"/>
      <c r="HFP45" s="292"/>
      <c r="HFQ45" s="291"/>
      <c r="HFR45" s="292"/>
      <c r="HFS45" s="292"/>
      <c r="HFT45" s="292"/>
      <c r="HFU45" s="291"/>
      <c r="HFV45" s="292"/>
      <c r="HFW45" s="292"/>
      <c r="HFX45" s="292"/>
      <c r="HFY45" s="291"/>
      <c r="HFZ45" s="292"/>
      <c r="HGA45" s="292"/>
      <c r="HGB45" s="292"/>
      <c r="HGC45" s="291"/>
      <c r="HGD45" s="292"/>
      <c r="HGE45" s="292"/>
      <c r="HGF45" s="292"/>
      <c r="HGG45" s="291"/>
      <c r="HGH45" s="292"/>
      <c r="HGI45" s="292"/>
      <c r="HGJ45" s="292"/>
      <c r="HGK45" s="291"/>
      <c r="HGL45" s="292"/>
      <c r="HGM45" s="292"/>
      <c r="HGN45" s="292"/>
      <c r="HGO45" s="291"/>
      <c r="HGP45" s="292"/>
      <c r="HGQ45" s="292"/>
      <c r="HGR45" s="292"/>
      <c r="HGS45" s="291"/>
      <c r="HGT45" s="292"/>
      <c r="HGU45" s="292"/>
      <c r="HGV45" s="292"/>
      <c r="HGW45" s="291"/>
      <c r="HGX45" s="292"/>
      <c r="HGY45" s="292"/>
      <c r="HGZ45" s="292"/>
      <c r="HHA45" s="291"/>
      <c r="HHB45" s="292"/>
      <c r="HHC45" s="292"/>
      <c r="HHD45" s="292"/>
      <c r="HHE45" s="291"/>
      <c r="HHF45" s="292"/>
      <c r="HHG45" s="292"/>
      <c r="HHH45" s="292"/>
      <c r="HHI45" s="291"/>
      <c r="HHJ45" s="292"/>
      <c r="HHK45" s="292"/>
      <c r="HHL45" s="292"/>
      <c r="HHM45" s="291"/>
      <c r="HHN45" s="292"/>
      <c r="HHO45" s="292"/>
      <c r="HHP45" s="292"/>
      <c r="HHQ45" s="291"/>
      <c r="HHR45" s="292"/>
      <c r="HHS45" s="292"/>
      <c r="HHT45" s="292"/>
      <c r="HHU45" s="291"/>
      <c r="HHV45" s="292"/>
      <c r="HHW45" s="292"/>
      <c r="HHX45" s="292"/>
      <c r="HHY45" s="291"/>
      <c r="HHZ45" s="292"/>
      <c r="HIA45" s="292"/>
      <c r="HIB45" s="292"/>
      <c r="HIC45" s="291"/>
      <c r="HID45" s="292"/>
      <c r="HIE45" s="292"/>
      <c r="HIF45" s="292"/>
      <c r="HIG45" s="291"/>
      <c r="HIH45" s="292"/>
      <c r="HII45" s="292"/>
      <c r="HIJ45" s="292"/>
      <c r="HIK45" s="291"/>
      <c r="HIL45" s="292"/>
      <c r="HIM45" s="292"/>
      <c r="HIN45" s="292"/>
      <c r="HIO45" s="291"/>
      <c r="HIP45" s="292"/>
      <c r="HIQ45" s="292"/>
      <c r="HIR45" s="292"/>
      <c r="HIS45" s="291"/>
      <c r="HIT45" s="292"/>
      <c r="HIU45" s="292"/>
      <c r="HIV45" s="292"/>
      <c r="HIW45" s="291"/>
      <c r="HIX45" s="292"/>
      <c r="HIY45" s="292"/>
      <c r="HIZ45" s="292"/>
      <c r="HJA45" s="291"/>
      <c r="HJB45" s="292"/>
      <c r="HJC45" s="292"/>
      <c r="HJD45" s="292"/>
      <c r="HJE45" s="291"/>
      <c r="HJF45" s="292"/>
      <c r="HJG45" s="292"/>
      <c r="HJH45" s="292"/>
      <c r="HJI45" s="291"/>
      <c r="HJJ45" s="292"/>
      <c r="HJK45" s="292"/>
      <c r="HJL45" s="292"/>
      <c r="HJM45" s="291"/>
      <c r="HJN45" s="292"/>
      <c r="HJO45" s="292"/>
      <c r="HJP45" s="292"/>
      <c r="HJQ45" s="291"/>
      <c r="HJR45" s="292"/>
      <c r="HJS45" s="292"/>
      <c r="HJT45" s="292"/>
      <c r="HJU45" s="291"/>
      <c r="HJV45" s="292"/>
      <c r="HJW45" s="292"/>
      <c r="HJX45" s="292"/>
      <c r="HJY45" s="291"/>
      <c r="HJZ45" s="292"/>
      <c r="HKA45" s="292"/>
      <c r="HKB45" s="292"/>
      <c r="HKC45" s="291"/>
      <c r="HKD45" s="292"/>
      <c r="HKE45" s="292"/>
      <c r="HKF45" s="292"/>
      <c r="HKG45" s="291"/>
      <c r="HKH45" s="292"/>
      <c r="HKI45" s="292"/>
      <c r="HKJ45" s="292"/>
      <c r="HKK45" s="291"/>
      <c r="HKL45" s="292"/>
      <c r="HKM45" s="292"/>
      <c r="HKN45" s="292"/>
      <c r="HKO45" s="291"/>
      <c r="HKP45" s="292"/>
      <c r="HKQ45" s="292"/>
      <c r="HKR45" s="292"/>
      <c r="HKS45" s="291"/>
      <c r="HKT45" s="292"/>
      <c r="HKU45" s="292"/>
      <c r="HKV45" s="292"/>
      <c r="HKW45" s="291"/>
      <c r="HKX45" s="292"/>
      <c r="HKY45" s="292"/>
      <c r="HKZ45" s="292"/>
      <c r="HLA45" s="291"/>
      <c r="HLB45" s="292"/>
      <c r="HLC45" s="292"/>
      <c r="HLD45" s="292"/>
      <c r="HLE45" s="291"/>
      <c r="HLF45" s="292"/>
      <c r="HLG45" s="292"/>
      <c r="HLH45" s="292"/>
      <c r="HLI45" s="291"/>
      <c r="HLJ45" s="292"/>
      <c r="HLK45" s="292"/>
      <c r="HLL45" s="292"/>
      <c r="HLM45" s="291"/>
      <c r="HLN45" s="292"/>
      <c r="HLO45" s="292"/>
      <c r="HLP45" s="292"/>
      <c r="HLQ45" s="291"/>
      <c r="HLR45" s="292"/>
      <c r="HLS45" s="292"/>
      <c r="HLT45" s="292"/>
      <c r="HLU45" s="291"/>
      <c r="HLV45" s="292"/>
      <c r="HLW45" s="292"/>
      <c r="HLX45" s="292"/>
      <c r="HLY45" s="291"/>
      <c r="HLZ45" s="292"/>
      <c r="HMA45" s="292"/>
      <c r="HMB45" s="292"/>
      <c r="HMC45" s="291"/>
      <c r="HMD45" s="292"/>
      <c r="HME45" s="292"/>
      <c r="HMF45" s="292"/>
      <c r="HMG45" s="291"/>
      <c r="HMH45" s="292"/>
      <c r="HMI45" s="292"/>
      <c r="HMJ45" s="292"/>
      <c r="HMK45" s="291"/>
      <c r="HML45" s="292"/>
      <c r="HMM45" s="292"/>
      <c r="HMN45" s="292"/>
      <c r="HMO45" s="291"/>
      <c r="HMP45" s="292"/>
      <c r="HMQ45" s="292"/>
      <c r="HMR45" s="292"/>
      <c r="HMS45" s="291"/>
      <c r="HMT45" s="292"/>
      <c r="HMU45" s="292"/>
      <c r="HMV45" s="292"/>
      <c r="HMW45" s="291"/>
      <c r="HMX45" s="292"/>
      <c r="HMY45" s="292"/>
      <c r="HMZ45" s="292"/>
      <c r="HNA45" s="291"/>
      <c r="HNB45" s="292"/>
      <c r="HNC45" s="292"/>
      <c r="HND45" s="292"/>
      <c r="HNE45" s="291"/>
      <c r="HNF45" s="292"/>
      <c r="HNG45" s="292"/>
      <c r="HNH45" s="292"/>
      <c r="HNI45" s="291"/>
      <c r="HNJ45" s="292"/>
      <c r="HNK45" s="292"/>
      <c r="HNL45" s="292"/>
      <c r="HNM45" s="291"/>
      <c r="HNN45" s="292"/>
      <c r="HNO45" s="292"/>
      <c r="HNP45" s="292"/>
      <c r="HNQ45" s="291"/>
      <c r="HNR45" s="292"/>
      <c r="HNS45" s="292"/>
      <c r="HNT45" s="292"/>
      <c r="HNU45" s="291"/>
      <c r="HNV45" s="292"/>
      <c r="HNW45" s="292"/>
      <c r="HNX45" s="292"/>
      <c r="HNY45" s="291"/>
      <c r="HNZ45" s="292"/>
      <c r="HOA45" s="292"/>
      <c r="HOB45" s="292"/>
      <c r="HOC45" s="291"/>
      <c r="HOD45" s="292"/>
      <c r="HOE45" s="292"/>
      <c r="HOF45" s="292"/>
      <c r="HOG45" s="291"/>
      <c r="HOH45" s="292"/>
      <c r="HOI45" s="292"/>
      <c r="HOJ45" s="292"/>
      <c r="HOK45" s="291"/>
      <c r="HOL45" s="292"/>
      <c r="HOM45" s="292"/>
      <c r="HON45" s="292"/>
      <c r="HOO45" s="291"/>
      <c r="HOP45" s="292"/>
      <c r="HOQ45" s="292"/>
      <c r="HOR45" s="292"/>
      <c r="HOS45" s="291"/>
      <c r="HOT45" s="292"/>
      <c r="HOU45" s="292"/>
      <c r="HOV45" s="292"/>
      <c r="HOW45" s="291"/>
      <c r="HOX45" s="292"/>
      <c r="HOY45" s="292"/>
      <c r="HOZ45" s="292"/>
      <c r="HPA45" s="291"/>
      <c r="HPB45" s="292"/>
      <c r="HPC45" s="292"/>
      <c r="HPD45" s="292"/>
      <c r="HPE45" s="291"/>
      <c r="HPF45" s="292"/>
      <c r="HPG45" s="292"/>
      <c r="HPH45" s="292"/>
      <c r="HPI45" s="291"/>
      <c r="HPJ45" s="292"/>
      <c r="HPK45" s="292"/>
      <c r="HPL45" s="292"/>
      <c r="HPM45" s="291"/>
      <c r="HPN45" s="292"/>
      <c r="HPO45" s="292"/>
      <c r="HPP45" s="292"/>
      <c r="HPQ45" s="291"/>
      <c r="HPR45" s="292"/>
      <c r="HPS45" s="292"/>
      <c r="HPT45" s="292"/>
      <c r="HPU45" s="291"/>
      <c r="HPV45" s="292"/>
      <c r="HPW45" s="292"/>
      <c r="HPX45" s="292"/>
      <c r="HPY45" s="291"/>
      <c r="HPZ45" s="292"/>
      <c r="HQA45" s="292"/>
      <c r="HQB45" s="292"/>
      <c r="HQC45" s="291"/>
      <c r="HQD45" s="292"/>
      <c r="HQE45" s="292"/>
      <c r="HQF45" s="292"/>
      <c r="HQG45" s="291"/>
      <c r="HQH45" s="292"/>
      <c r="HQI45" s="292"/>
      <c r="HQJ45" s="292"/>
      <c r="HQK45" s="291"/>
      <c r="HQL45" s="292"/>
      <c r="HQM45" s="292"/>
      <c r="HQN45" s="292"/>
      <c r="HQO45" s="291"/>
      <c r="HQP45" s="292"/>
      <c r="HQQ45" s="292"/>
      <c r="HQR45" s="292"/>
      <c r="HQS45" s="291"/>
      <c r="HQT45" s="292"/>
      <c r="HQU45" s="292"/>
      <c r="HQV45" s="292"/>
      <c r="HQW45" s="291"/>
      <c r="HQX45" s="292"/>
      <c r="HQY45" s="292"/>
      <c r="HQZ45" s="292"/>
      <c r="HRA45" s="291"/>
      <c r="HRB45" s="292"/>
      <c r="HRC45" s="292"/>
      <c r="HRD45" s="292"/>
      <c r="HRE45" s="291"/>
      <c r="HRF45" s="292"/>
      <c r="HRG45" s="292"/>
      <c r="HRH45" s="292"/>
      <c r="HRI45" s="291"/>
      <c r="HRJ45" s="292"/>
      <c r="HRK45" s="292"/>
      <c r="HRL45" s="292"/>
      <c r="HRM45" s="291"/>
      <c r="HRN45" s="292"/>
      <c r="HRO45" s="292"/>
      <c r="HRP45" s="292"/>
      <c r="HRQ45" s="291"/>
      <c r="HRR45" s="292"/>
      <c r="HRS45" s="292"/>
      <c r="HRT45" s="292"/>
      <c r="HRU45" s="291"/>
      <c r="HRV45" s="292"/>
      <c r="HRW45" s="292"/>
      <c r="HRX45" s="292"/>
      <c r="HRY45" s="291"/>
      <c r="HRZ45" s="292"/>
      <c r="HSA45" s="292"/>
      <c r="HSB45" s="292"/>
      <c r="HSC45" s="291"/>
      <c r="HSD45" s="292"/>
      <c r="HSE45" s="292"/>
      <c r="HSF45" s="292"/>
      <c r="HSG45" s="291"/>
      <c r="HSH45" s="292"/>
      <c r="HSI45" s="292"/>
      <c r="HSJ45" s="292"/>
      <c r="HSK45" s="291"/>
      <c r="HSL45" s="292"/>
      <c r="HSM45" s="292"/>
      <c r="HSN45" s="292"/>
      <c r="HSO45" s="291"/>
      <c r="HSP45" s="292"/>
      <c r="HSQ45" s="292"/>
      <c r="HSR45" s="292"/>
      <c r="HSS45" s="291"/>
      <c r="HST45" s="292"/>
      <c r="HSU45" s="292"/>
      <c r="HSV45" s="292"/>
      <c r="HSW45" s="291"/>
      <c r="HSX45" s="292"/>
      <c r="HSY45" s="292"/>
      <c r="HSZ45" s="292"/>
      <c r="HTA45" s="291"/>
      <c r="HTB45" s="292"/>
      <c r="HTC45" s="292"/>
      <c r="HTD45" s="292"/>
      <c r="HTE45" s="291"/>
      <c r="HTF45" s="292"/>
      <c r="HTG45" s="292"/>
      <c r="HTH45" s="292"/>
      <c r="HTI45" s="291"/>
      <c r="HTJ45" s="292"/>
      <c r="HTK45" s="292"/>
      <c r="HTL45" s="292"/>
      <c r="HTM45" s="291"/>
      <c r="HTN45" s="292"/>
      <c r="HTO45" s="292"/>
      <c r="HTP45" s="292"/>
      <c r="HTQ45" s="291"/>
      <c r="HTR45" s="292"/>
      <c r="HTS45" s="292"/>
      <c r="HTT45" s="292"/>
      <c r="HTU45" s="291"/>
      <c r="HTV45" s="292"/>
      <c r="HTW45" s="292"/>
      <c r="HTX45" s="292"/>
      <c r="HTY45" s="291"/>
      <c r="HTZ45" s="292"/>
      <c r="HUA45" s="292"/>
      <c r="HUB45" s="292"/>
      <c r="HUC45" s="291"/>
      <c r="HUD45" s="292"/>
      <c r="HUE45" s="292"/>
      <c r="HUF45" s="292"/>
      <c r="HUG45" s="291"/>
      <c r="HUH45" s="292"/>
      <c r="HUI45" s="292"/>
      <c r="HUJ45" s="292"/>
      <c r="HUK45" s="291"/>
      <c r="HUL45" s="292"/>
      <c r="HUM45" s="292"/>
      <c r="HUN45" s="292"/>
      <c r="HUO45" s="291"/>
      <c r="HUP45" s="292"/>
      <c r="HUQ45" s="292"/>
      <c r="HUR45" s="292"/>
      <c r="HUS45" s="291"/>
      <c r="HUT45" s="292"/>
      <c r="HUU45" s="292"/>
      <c r="HUV45" s="292"/>
      <c r="HUW45" s="291"/>
      <c r="HUX45" s="292"/>
      <c r="HUY45" s="292"/>
      <c r="HUZ45" s="292"/>
      <c r="HVA45" s="291"/>
      <c r="HVB45" s="292"/>
      <c r="HVC45" s="292"/>
      <c r="HVD45" s="292"/>
      <c r="HVE45" s="291"/>
      <c r="HVF45" s="292"/>
      <c r="HVG45" s="292"/>
      <c r="HVH45" s="292"/>
      <c r="HVI45" s="291"/>
      <c r="HVJ45" s="292"/>
      <c r="HVK45" s="292"/>
      <c r="HVL45" s="292"/>
      <c r="HVM45" s="291"/>
      <c r="HVN45" s="292"/>
      <c r="HVO45" s="292"/>
      <c r="HVP45" s="292"/>
      <c r="HVQ45" s="291"/>
      <c r="HVR45" s="292"/>
      <c r="HVS45" s="292"/>
      <c r="HVT45" s="292"/>
      <c r="HVU45" s="291"/>
      <c r="HVV45" s="292"/>
      <c r="HVW45" s="292"/>
      <c r="HVX45" s="292"/>
      <c r="HVY45" s="291"/>
      <c r="HVZ45" s="292"/>
      <c r="HWA45" s="292"/>
      <c r="HWB45" s="292"/>
      <c r="HWC45" s="291"/>
      <c r="HWD45" s="292"/>
      <c r="HWE45" s="292"/>
      <c r="HWF45" s="292"/>
      <c r="HWG45" s="291"/>
      <c r="HWH45" s="292"/>
      <c r="HWI45" s="292"/>
      <c r="HWJ45" s="292"/>
      <c r="HWK45" s="291"/>
      <c r="HWL45" s="292"/>
      <c r="HWM45" s="292"/>
      <c r="HWN45" s="292"/>
      <c r="HWO45" s="291"/>
      <c r="HWP45" s="292"/>
      <c r="HWQ45" s="292"/>
      <c r="HWR45" s="292"/>
      <c r="HWS45" s="291"/>
      <c r="HWT45" s="292"/>
      <c r="HWU45" s="292"/>
      <c r="HWV45" s="292"/>
      <c r="HWW45" s="291"/>
      <c r="HWX45" s="292"/>
      <c r="HWY45" s="292"/>
      <c r="HWZ45" s="292"/>
      <c r="HXA45" s="291"/>
      <c r="HXB45" s="292"/>
      <c r="HXC45" s="292"/>
      <c r="HXD45" s="292"/>
      <c r="HXE45" s="291"/>
      <c r="HXF45" s="292"/>
      <c r="HXG45" s="292"/>
      <c r="HXH45" s="292"/>
      <c r="HXI45" s="291"/>
      <c r="HXJ45" s="292"/>
      <c r="HXK45" s="292"/>
      <c r="HXL45" s="292"/>
      <c r="HXM45" s="291"/>
      <c r="HXN45" s="292"/>
      <c r="HXO45" s="292"/>
      <c r="HXP45" s="292"/>
      <c r="HXQ45" s="291"/>
      <c r="HXR45" s="292"/>
      <c r="HXS45" s="292"/>
      <c r="HXT45" s="292"/>
      <c r="HXU45" s="291"/>
      <c r="HXV45" s="292"/>
      <c r="HXW45" s="292"/>
      <c r="HXX45" s="292"/>
      <c r="HXY45" s="291"/>
      <c r="HXZ45" s="292"/>
      <c r="HYA45" s="292"/>
      <c r="HYB45" s="292"/>
      <c r="HYC45" s="291"/>
      <c r="HYD45" s="292"/>
      <c r="HYE45" s="292"/>
      <c r="HYF45" s="292"/>
      <c r="HYG45" s="291"/>
      <c r="HYH45" s="292"/>
      <c r="HYI45" s="292"/>
      <c r="HYJ45" s="292"/>
      <c r="HYK45" s="291"/>
      <c r="HYL45" s="292"/>
      <c r="HYM45" s="292"/>
      <c r="HYN45" s="292"/>
      <c r="HYO45" s="291"/>
      <c r="HYP45" s="292"/>
      <c r="HYQ45" s="292"/>
      <c r="HYR45" s="292"/>
      <c r="HYS45" s="291"/>
      <c r="HYT45" s="292"/>
      <c r="HYU45" s="292"/>
      <c r="HYV45" s="292"/>
      <c r="HYW45" s="291"/>
      <c r="HYX45" s="292"/>
      <c r="HYY45" s="292"/>
      <c r="HYZ45" s="292"/>
      <c r="HZA45" s="291"/>
      <c r="HZB45" s="292"/>
      <c r="HZC45" s="292"/>
      <c r="HZD45" s="292"/>
      <c r="HZE45" s="291"/>
      <c r="HZF45" s="292"/>
      <c r="HZG45" s="292"/>
      <c r="HZH45" s="292"/>
      <c r="HZI45" s="291"/>
      <c r="HZJ45" s="292"/>
      <c r="HZK45" s="292"/>
      <c r="HZL45" s="292"/>
      <c r="HZM45" s="291"/>
      <c r="HZN45" s="292"/>
      <c r="HZO45" s="292"/>
      <c r="HZP45" s="292"/>
      <c r="HZQ45" s="291"/>
      <c r="HZR45" s="292"/>
      <c r="HZS45" s="292"/>
      <c r="HZT45" s="292"/>
      <c r="HZU45" s="291"/>
      <c r="HZV45" s="292"/>
      <c r="HZW45" s="292"/>
      <c r="HZX45" s="292"/>
      <c r="HZY45" s="291"/>
      <c r="HZZ45" s="292"/>
      <c r="IAA45" s="292"/>
      <c r="IAB45" s="292"/>
      <c r="IAC45" s="291"/>
      <c r="IAD45" s="292"/>
      <c r="IAE45" s="292"/>
      <c r="IAF45" s="292"/>
      <c r="IAG45" s="291"/>
      <c r="IAH45" s="292"/>
      <c r="IAI45" s="292"/>
      <c r="IAJ45" s="292"/>
      <c r="IAK45" s="291"/>
      <c r="IAL45" s="292"/>
      <c r="IAM45" s="292"/>
      <c r="IAN45" s="292"/>
      <c r="IAO45" s="291"/>
      <c r="IAP45" s="292"/>
      <c r="IAQ45" s="292"/>
      <c r="IAR45" s="292"/>
      <c r="IAS45" s="291"/>
      <c r="IAT45" s="292"/>
      <c r="IAU45" s="292"/>
      <c r="IAV45" s="292"/>
      <c r="IAW45" s="291"/>
      <c r="IAX45" s="292"/>
      <c r="IAY45" s="292"/>
      <c r="IAZ45" s="292"/>
      <c r="IBA45" s="291"/>
      <c r="IBB45" s="292"/>
      <c r="IBC45" s="292"/>
      <c r="IBD45" s="292"/>
      <c r="IBE45" s="291"/>
      <c r="IBF45" s="292"/>
      <c r="IBG45" s="292"/>
      <c r="IBH45" s="292"/>
      <c r="IBI45" s="291"/>
      <c r="IBJ45" s="292"/>
      <c r="IBK45" s="292"/>
      <c r="IBL45" s="292"/>
      <c r="IBM45" s="291"/>
      <c r="IBN45" s="292"/>
      <c r="IBO45" s="292"/>
      <c r="IBP45" s="292"/>
      <c r="IBQ45" s="291"/>
      <c r="IBR45" s="292"/>
      <c r="IBS45" s="292"/>
      <c r="IBT45" s="292"/>
      <c r="IBU45" s="291"/>
      <c r="IBV45" s="292"/>
      <c r="IBW45" s="292"/>
      <c r="IBX45" s="292"/>
      <c r="IBY45" s="291"/>
      <c r="IBZ45" s="292"/>
      <c r="ICA45" s="292"/>
      <c r="ICB45" s="292"/>
      <c r="ICC45" s="291"/>
      <c r="ICD45" s="292"/>
      <c r="ICE45" s="292"/>
      <c r="ICF45" s="292"/>
      <c r="ICG45" s="291"/>
      <c r="ICH45" s="292"/>
      <c r="ICI45" s="292"/>
      <c r="ICJ45" s="292"/>
      <c r="ICK45" s="291"/>
      <c r="ICL45" s="292"/>
      <c r="ICM45" s="292"/>
      <c r="ICN45" s="292"/>
      <c r="ICO45" s="291"/>
      <c r="ICP45" s="292"/>
      <c r="ICQ45" s="292"/>
      <c r="ICR45" s="292"/>
      <c r="ICS45" s="291"/>
      <c r="ICT45" s="292"/>
      <c r="ICU45" s="292"/>
      <c r="ICV45" s="292"/>
      <c r="ICW45" s="291"/>
      <c r="ICX45" s="292"/>
      <c r="ICY45" s="292"/>
      <c r="ICZ45" s="292"/>
      <c r="IDA45" s="291"/>
      <c r="IDB45" s="292"/>
      <c r="IDC45" s="292"/>
      <c r="IDD45" s="292"/>
      <c r="IDE45" s="291"/>
      <c r="IDF45" s="292"/>
      <c r="IDG45" s="292"/>
      <c r="IDH45" s="292"/>
      <c r="IDI45" s="291"/>
      <c r="IDJ45" s="292"/>
      <c r="IDK45" s="292"/>
      <c r="IDL45" s="292"/>
      <c r="IDM45" s="291"/>
      <c r="IDN45" s="292"/>
      <c r="IDO45" s="292"/>
      <c r="IDP45" s="292"/>
      <c r="IDQ45" s="291"/>
      <c r="IDR45" s="292"/>
      <c r="IDS45" s="292"/>
      <c r="IDT45" s="292"/>
      <c r="IDU45" s="291"/>
      <c r="IDV45" s="292"/>
      <c r="IDW45" s="292"/>
      <c r="IDX45" s="292"/>
      <c r="IDY45" s="291"/>
      <c r="IDZ45" s="292"/>
      <c r="IEA45" s="292"/>
      <c r="IEB45" s="292"/>
      <c r="IEC45" s="291"/>
      <c r="IED45" s="292"/>
      <c r="IEE45" s="292"/>
      <c r="IEF45" s="292"/>
      <c r="IEG45" s="291"/>
      <c r="IEH45" s="292"/>
      <c r="IEI45" s="292"/>
      <c r="IEJ45" s="292"/>
      <c r="IEK45" s="291"/>
      <c r="IEL45" s="292"/>
      <c r="IEM45" s="292"/>
      <c r="IEN45" s="292"/>
      <c r="IEO45" s="291"/>
      <c r="IEP45" s="292"/>
      <c r="IEQ45" s="292"/>
      <c r="IER45" s="292"/>
      <c r="IES45" s="291"/>
      <c r="IET45" s="292"/>
      <c r="IEU45" s="292"/>
      <c r="IEV45" s="292"/>
      <c r="IEW45" s="291"/>
      <c r="IEX45" s="292"/>
      <c r="IEY45" s="292"/>
      <c r="IEZ45" s="292"/>
      <c r="IFA45" s="291"/>
      <c r="IFB45" s="292"/>
      <c r="IFC45" s="292"/>
      <c r="IFD45" s="292"/>
      <c r="IFE45" s="291"/>
      <c r="IFF45" s="292"/>
      <c r="IFG45" s="292"/>
      <c r="IFH45" s="292"/>
      <c r="IFI45" s="291"/>
      <c r="IFJ45" s="292"/>
      <c r="IFK45" s="292"/>
      <c r="IFL45" s="292"/>
      <c r="IFM45" s="291"/>
      <c r="IFN45" s="292"/>
      <c r="IFO45" s="292"/>
      <c r="IFP45" s="292"/>
      <c r="IFQ45" s="291"/>
      <c r="IFR45" s="292"/>
      <c r="IFS45" s="292"/>
      <c r="IFT45" s="292"/>
      <c r="IFU45" s="291"/>
      <c r="IFV45" s="292"/>
      <c r="IFW45" s="292"/>
      <c r="IFX45" s="292"/>
      <c r="IFY45" s="291"/>
      <c r="IFZ45" s="292"/>
      <c r="IGA45" s="292"/>
      <c r="IGB45" s="292"/>
      <c r="IGC45" s="291"/>
      <c r="IGD45" s="292"/>
      <c r="IGE45" s="292"/>
      <c r="IGF45" s="292"/>
      <c r="IGG45" s="291"/>
      <c r="IGH45" s="292"/>
      <c r="IGI45" s="292"/>
      <c r="IGJ45" s="292"/>
      <c r="IGK45" s="291"/>
      <c r="IGL45" s="292"/>
      <c r="IGM45" s="292"/>
      <c r="IGN45" s="292"/>
      <c r="IGO45" s="291"/>
      <c r="IGP45" s="292"/>
      <c r="IGQ45" s="292"/>
      <c r="IGR45" s="292"/>
      <c r="IGS45" s="291"/>
      <c r="IGT45" s="292"/>
      <c r="IGU45" s="292"/>
      <c r="IGV45" s="292"/>
      <c r="IGW45" s="291"/>
      <c r="IGX45" s="292"/>
      <c r="IGY45" s="292"/>
      <c r="IGZ45" s="292"/>
      <c r="IHA45" s="291"/>
      <c r="IHB45" s="292"/>
      <c r="IHC45" s="292"/>
      <c r="IHD45" s="292"/>
      <c r="IHE45" s="291"/>
      <c r="IHF45" s="292"/>
      <c r="IHG45" s="292"/>
      <c r="IHH45" s="292"/>
      <c r="IHI45" s="291"/>
      <c r="IHJ45" s="292"/>
      <c r="IHK45" s="292"/>
      <c r="IHL45" s="292"/>
      <c r="IHM45" s="291"/>
      <c r="IHN45" s="292"/>
      <c r="IHO45" s="292"/>
      <c r="IHP45" s="292"/>
      <c r="IHQ45" s="291"/>
      <c r="IHR45" s="292"/>
      <c r="IHS45" s="292"/>
      <c r="IHT45" s="292"/>
      <c r="IHU45" s="291"/>
      <c r="IHV45" s="292"/>
      <c r="IHW45" s="292"/>
      <c r="IHX45" s="292"/>
      <c r="IHY45" s="291"/>
      <c r="IHZ45" s="292"/>
      <c r="IIA45" s="292"/>
      <c r="IIB45" s="292"/>
      <c r="IIC45" s="291"/>
      <c r="IID45" s="292"/>
      <c r="IIE45" s="292"/>
      <c r="IIF45" s="292"/>
      <c r="IIG45" s="291"/>
      <c r="IIH45" s="292"/>
      <c r="III45" s="292"/>
      <c r="IIJ45" s="292"/>
      <c r="IIK45" s="291"/>
      <c r="IIL45" s="292"/>
      <c r="IIM45" s="292"/>
      <c r="IIN45" s="292"/>
      <c r="IIO45" s="291"/>
      <c r="IIP45" s="292"/>
      <c r="IIQ45" s="292"/>
      <c r="IIR45" s="292"/>
      <c r="IIS45" s="291"/>
      <c r="IIT45" s="292"/>
      <c r="IIU45" s="292"/>
      <c r="IIV45" s="292"/>
      <c r="IIW45" s="291"/>
      <c r="IIX45" s="292"/>
      <c r="IIY45" s="292"/>
      <c r="IIZ45" s="292"/>
      <c r="IJA45" s="291"/>
      <c r="IJB45" s="292"/>
      <c r="IJC45" s="292"/>
      <c r="IJD45" s="292"/>
      <c r="IJE45" s="291"/>
      <c r="IJF45" s="292"/>
      <c r="IJG45" s="292"/>
      <c r="IJH45" s="292"/>
      <c r="IJI45" s="291"/>
      <c r="IJJ45" s="292"/>
      <c r="IJK45" s="292"/>
      <c r="IJL45" s="292"/>
      <c r="IJM45" s="291"/>
      <c r="IJN45" s="292"/>
      <c r="IJO45" s="292"/>
      <c r="IJP45" s="292"/>
      <c r="IJQ45" s="291"/>
      <c r="IJR45" s="292"/>
      <c r="IJS45" s="292"/>
      <c r="IJT45" s="292"/>
      <c r="IJU45" s="291"/>
      <c r="IJV45" s="292"/>
      <c r="IJW45" s="292"/>
      <c r="IJX45" s="292"/>
      <c r="IJY45" s="291"/>
      <c r="IJZ45" s="292"/>
      <c r="IKA45" s="292"/>
      <c r="IKB45" s="292"/>
      <c r="IKC45" s="291"/>
      <c r="IKD45" s="292"/>
      <c r="IKE45" s="292"/>
      <c r="IKF45" s="292"/>
      <c r="IKG45" s="291"/>
      <c r="IKH45" s="292"/>
      <c r="IKI45" s="292"/>
      <c r="IKJ45" s="292"/>
      <c r="IKK45" s="291"/>
      <c r="IKL45" s="292"/>
      <c r="IKM45" s="292"/>
      <c r="IKN45" s="292"/>
      <c r="IKO45" s="291"/>
      <c r="IKP45" s="292"/>
      <c r="IKQ45" s="292"/>
      <c r="IKR45" s="292"/>
      <c r="IKS45" s="291"/>
      <c r="IKT45" s="292"/>
      <c r="IKU45" s="292"/>
      <c r="IKV45" s="292"/>
      <c r="IKW45" s="291"/>
      <c r="IKX45" s="292"/>
      <c r="IKY45" s="292"/>
      <c r="IKZ45" s="292"/>
      <c r="ILA45" s="291"/>
      <c r="ILB45" s="292"/>
      <c r="ILC45" s="292"/>
      <c r="ILD45" s="292"/>
      <c r="ILE45" s="291"/>
      <c r="ILF45" s="292"/>
      <c r="ILG45" s="292"/>
      <c r="ILH45" s="292"/>
      <c r="ILI45" s="291"/>
      <c r="ILJ45" s="292"/>
      <c r="ILK45" s="292"/>
      <c r="ILL45" s="292"/>
      <c r="ILM45" s="291"/>
      <c r="ILN45" s="292"/>
      <c r="ILO45" s="292"/>
      <c r="ILP45" s="292"/>
      <c r="ILQ45" s="291"/>
      <c r="ILR45" s="292"/>
      <c r="ILS45" s="292"/>
      <c r="ILT45" s="292"/>
      <c r="ILU45" s="291"/>
      <c r="ILV45" s="292"/>
      <c r="ILW45" s="292"/>
      <c r="ILX45" s="292"/>
      <c r="ILY45" s="291"/>
      <c r="ILZ45" s="292"/>
      <c r="IMA45" s="292"/>
      <c r="IMB45" s="292"/>
      <c r="IMC45" s="291"/>
      <c r="IMD45" s="292"/>
      <c r="IME45" s="292"/>
      <c r="IMF45" s="292"/>
      <c r="IMG45" s="291"/>
      <c r="IMH45" s="292"/>
      <c r="IMI45" s="292"/>
      <c r="IMJ45" s="292"/>
      <c r="IMK45" s="291"/>
      <c r="IML45" s="292"/>
      <c r="IMM45" s="292"/>
      <c r="IMN45" s="292"/>
      <c r="IMO45" s="291"/>
      <c r="IMP45" s="292"/>
      <c r="IMQ45" s="292"/>
      <c r="IMR45" s="292"/>
      <c r="IMS45" s="291"/>
      <c r="IMT45" s="292"/>
      <c r="IMU45" s="292"/>
      <c r="IMV45" s="292"/>
      <c r="IMW45" s="291"/>
      <c r="IMX45" s="292"/>
      <c r="IMY45" s="292"/>
      <c r="IMZ45" s="292"/>
      <c r="INA45" s="291"/>
      <c r="INB45" s="292"/>
      <c r="INC45" s="292"/>
      <c r="IND45" s="292"/>
      <c r="INE45" s="291"/>
      <c r="INF45" s="292"/>
      <c r="ING45" s="292"/>
      <c r="INH45" s="292"/>
      <c r="INI45" s="291"/>
      <c r="INJ45" s="292"/>
      <c r="INK45" s="292"/>
      <c r="INL45" s="292"/>
      <c r="INM45" s="291"/>
      <c r="INN45" s="292"/>
      <c r="INO45" s="292"/>
      <c r="INP45" s="292"/>
      <c r="INQ45" s="291"/>
      <c r="INR45" s="292"/>
      <c r="INS45" s="292"/>
      <c r="INT45" s="292"/>
      <c r="INU45" s="291"/>
      <c r="INV45" s="292"/>
      <c r="INW45" s="292"/>
      <c r="INX45" s="292"/>
      <c r="INY45" s="291"/>
      <c r="INZ45" s="292"/>
      <c r="IOA45" s="292"/>
      <c r="IOB45" s="292"/>
      <c r="IOC45" s="291"/>
      <c r="IOD45" s="292"/>
      <c r="IOE45" s="292"/>
      <c r="IOF45" s="292"/>
      <c r="IOG45" s="291"/>
      <c r="IOH45" s="292"/>
      <c r="IOI45" s="292"/>
      <c r="IOJ45" s="292"/>
      <c r="IOK45" s="291"/>
      <c r="IOL45" s="292"/>
      <c r="IOM45" s="292"/>
      <c r="ION45" s="292"/>
      <c r="IOO45" s="291"/>
      <c r="IOP45" s="292"/>
      <c r="IOQ45" s="292"/>
      <c r="IOR45" s="292"/>
      <c r="IOS45" s="291"/>
      <c r="IOT45" s="292"/>
      <c r="IOU45" s="292"/>
      <c r="IOV45" s="292"/>
      <c r="IOW45" s="291"/>
      <c r="IOX45" s="292"/>
      <c r="IOY45" s="292"/>
      <c r="IOZ45" s="292"/>
      <c r="IPA45" s="291"/>
      <c r="IPB45" s="292"/>
      <c r="IPC45" s="292"/>
      <c r="IPD45" s="292"/>
      <c r="IPE45" s="291"/>
      <c r="IPF45" s="292"/>
      <c r="IPG45" s="292"/>
      <c r="IPH45" s="292"/>
      <c r="IPI45" s="291"/>
      <c r="IPJ45" s="292"/>
      <c r="IPK45" s="292"/>
      <c r="IPL45" s="292"/>
      <c r="IPM45" s="291"/>
      <c r="IPN45" s="292"/>
      <c r="IPO45" s="292"/>
      <c r="IPP45" s="292"/>
      <c r="IPQ45" s="291"/>
      <c r="IPR45" s="292"/>
      <c r="IPS45" s="292"/>
      <c r="IPT45" s="292"/>
      <c r="IPU45" s="291"/>
      <c r="IPV45" s="292"/>
      <c r="IPW45" s="292"/>
      <c r="IPX45" s="292"/>
      <c r="IPY45" s="291"/>
      <c r="IPZ45" s="292"/>
      <c r="IQA45" s="292"/>
      <c r="IQB45" s="292"/>
      <c r="IQC45" s="291"/>
      <c r="IQD45" s="292"/>
      <c r="IQE45" s="292"/>
      <c r="IQF45" s="292"/>
      <c r="IQG45" s="291"/>
      <c r="IQH45" s="292"/>
      <c r="IQI45" s="292"/>
      <c r="IQJ45" s="292"/>
      <c r="IQK45" s="291"/>
      <c r="IQL45" s="292"/>
      <c r="IQM45" s="292"/>
      <c r="IQN45" s="292"/>
      <c r="IQO45" s="291"/>
      <c r="IQP45" s="292"/>
      <c r="IQQ45" s="292"/>
      <c r="IQR45" s="292"/>
      <c r="IQS45" s="291"/>
      <c r="IQT45" s="292"/>
      <c r="IQU45" s="292"/>
      <c r="IQV45" s="292"/>
      <c r="IQW45" s="291"/>
      <c r="IQX45" s="292"/>
      <c r="IQY45" s="292"/>
      <c r="IQZ45" s="292"/>
      <c r="IRA45" s="291"/>
      <c r="IRB45" s="292"/>
      <c r="IRC45" s="292"/>
      <c r="IRD45" s="292"/>
      <c r="IRE45" s="291"/>
      <c r="IRF45" s="292"/>
      <c r="IRG45" s="292"/>
      <c r="IRH45" s="292"/>
      <c r="IRI45" s="291"/>
      <c r="IRJ45" s="292"/>
      <c r="IRK45" s="292"/>
      <c r="IRL45" s="292"/>
      <c r="IRM45" s="291"/>
      <c r="IRN45" s="292"/>
      <c r="IRO45" s="292"/>
      <c r="IRP45" s="292"/>
      <c r="IRQ45" s="291"/>
      <c r="IRR45" s="292"/>
      <c r="IRS45" s="292"/>
      <c r="IRT45" s="292"/>
      <c r="IRU45" s="291"/>
      <c r="IRV45" s="292"/>
      <c r="IRW45" s="292"/>
      <c r="IRX45" s="292"/>
      <c r="IRY45" s="291"/>
      <c r="IRZ45" s="292"/>
      <c r="ISA45" s="292"/>
      <c r="ISB45" s="292"/>
      <c r="ISC45" s="291"/>
      <c r="ISD45" s="292"/>
      <c r="ISE45" s="292"/>
      <c r="ISF45" s="292"/>
      <c r="ISG45" s="291"/>
      <c r="ISH45" s="292"/>
      <c r="ISI45" s="292"/>
      <c r="ISJ45" s="292"/>
      <c r="ISK45" s="291"/>
      <c r="ISL45" s="292"/>
      <c r="ISM45" s="292"/>
      <c r="ISN45" s="292"/>
      <c r="ISO45" s="291"/>
      <c r="ISP45" s="292"/>
      <c r="ISQ45" s="292"/>
      <c r="ISR45" s="292"/>
      <c r="ISS45" s="291"/>
      <c r="IST45" s="292"/>
      <c r="ISU45" s="292"/>
      <c r="ISV45" s="292"/>
      <c r="ISW45" s="291"/>
      <c r="ISX45" s="292"/>
      <c r="ISY45" s="292"/>
      <c r="ISZ45" s="292"/>
      <c r="ITA45" s="291"/>
      <c r="ITB45" s="292"/>
      <c r="ITC45" s="292"/>
      <c r="ITD45" s="292"/>
      <c r="ITE45" s="291"/>
      <c r="ITF45" s="292"/>
      <c r="ITG45" s="292"/>
      <c r="ITH45" s="292"/>
      <c r="ITI45" s="291"/>
      <c r="ITJ45" s="292"/>
      <c r="ITK45" s="292"/>
      <c r="ITL45" s="292"/>
      <c r="ITM45" s="291"/>
      <c r="ITN45" s="292"/>
      <c r="ITO45" s="292"/>
      <c r="ITP45" s="292"/>
      <c r="ITQ45" s="291"/>
      <c r="ITR45" s="292"/>
      <c r="ITS45" s="292"/>
      <c r="ITT45" s="292"/>
      <c r="ITU45" s="291"/>
      <c r="ITV45" s="292"/>
      <c r="ITW45" s="292"/>
      <c r="ITX45" s="292"/>
      <c r="ITY45" s="291"/>
      <c r="ITZ45" s="292"/>
      <c r="IUA45" s="292"/>
      <c r="IUB45" s="292"/>
      <c r="IUC45" s="291"/>
      <c r="IUD45" s="292"/>
      <c r="IUE45" s="292"/>
      <c r="IUF45" s="292"/>
      <c r="IUG45" s="291"/>
      <c r="IUH45" s="292"/>
      <c r="IUI45" s="292"/>
      <c r="IUJ45" s="292"/>
      <c r="IUK45" s="291"/>
      <c r="IUL45" s="292"/>
      <c r="IUM45" s="292"/>
      <c r="IUN45" s="292"/>
      <c r="IUO45" s="291"/>
      <c r="IUP45" s="292"/>
      <c r="IUQ45" s="292"/>
      <c r="IUR45" s="292"/>
      <c r="IUS45" s="291"/>
      <c r="IUT45" s="292"/>
      <c r="IUU45" s="292"/>
      <c r="IUV45" s="292"/>
      <c r="IUW45" s="291"/>
      <c r="IUX45" s="292"/>
      <c r="IUY45" s="292"/>
      <c r="IUZ45" s="292"/>
      <c r="IVA45" s="291"/>
      <c r="IVB45" s="292"/>
      <c r="IVC45" s="292"/>
      <c r="IVD45" s="292"/>
      <c r="IVE45" s="291"/>
      <c r="IVF45" s="292"/>
      <c r="IVG45" s="292"/>
      <c r="IVH45" s="292"/>
      <c r="IVI45" s="291"/>
      <c r="IVJ45" s="292"/>
      <c r="IVK45" s="292"/>
      <c r="IVL45" s="292"/>
      <c r="IVM45" s="291"/>
      <c r="IVN45" s="292"/>
      <c r="IVO45" s="292"/>
      <c r="IVP45" s="292"/>
      <c r="IVQ45" s="291"/>
      <c r="IVR45" s="292"/>
      <c r="IVS45" s="292"/>
      <c r="IVT45" s="292"/>
      <c r="IVU45" s="291"/>
      <c r="IVV45" s="292"/>
      <c r="IVW45" s="292"/>
      <c r="IVX45" s="292"/>
      <c r="IVY45" s="291"/>
      <c r="IVZ45" s="292"/>
      <c r="IWA45" s="292"/>
      <c r="IWB45" s="292"/>
      <c r="IWC45" s="291"/>
      <c r="IWD45" s="292"/>
      <c r="IWE45" s="292"/>
      <c r="IWF45" s="292"/>
      <c r="IWG45" s="291"/>
      <c r="IWH45" s="292"/>
      <c r="IWI45" s="292"/>
      <c r="IWJ45" s="292"/>
      <c r="IWK45" s="291"/>
      <c r="IWL45" s="292"/>
      <c r="IWM45" s="292"/>
      <c r="IWN45" s="292"/>
      <c r="IWO45" s="291"/>
      <c r="IWP45" s="292"/>
      <c r="IWQ45" s="292"/>
      <c r="IWR45" s="292"/>
      <c r="IWS45" s="291"/>
      <c r="IWT45" s="292"/>
      <c r="IWU45" s="292"/>
      <c r="IWV45" s="292"/>
      <c r="IWW45" s="291"/>
      <c r="IWX45" s="292"/>
      <c r="IWY45" s="292"/>
      <c r="IWZ45" s="292"/>
      <c r="IXA45" s="291"/>
      <c r="IXB45" s="292"/>
      <c r="IXC45" s="292"/>
      <c r="IXD45" s="292"/>
      <c r="IXE45" s="291"/>
      <c r="IXF45" s="292"/>
      <c r="IXG45" s="292"/>
      <c r="IXH45" s="292"/>
      <c r="IXI45" s="291"/>
      <c r="IXJ45" s="292"/>
      <c r="IXK45" s="292"/>
      <c r="IXL45" s="292"/>
      <c r="IXM45" s="291"/>
      <c r="IXN45" s="292"/>
      <c r="IXO45" s="292"/>
      <c r="IXP45" s="292"/>
      <c r="IXQ45" s="291"/>
      <c r="IXR45" s="292"/>
      <c r="IXS45" s="292"/>
      <c r="IXT45" s="292"/>
      <c r="IXU45" s="291"/>
      <c r="IXV45" s="292"/>
      <c r="IXW45" s="292"/>
      <c r="IXX45" s="292"/>
      <c r="IXY45" s="291"/>
      <c r="IXZ45" s="292"/>
      <c r="IYA45" s="292"/>
      <c r="IYB45" s="292"/>
      <c r="IYC45" s="291"/>
      <c r="IYD45" s="292"/>
      <c r="IYE45" s="292"/>
      <c r="IYF45" s="292"/>
      <c r="IYG45" s="291"/>
      <c r="IYH45" s="292"/>
      <c r="IYI45" s="292"/>
      <c r="IYJ45" s="292"/>
      <c r="IYK45" s="291"/>
      <c r="IYL45" s="292"/>
      <c r="IYM45" s="292"/>
      <c r="IYN45" s="292"/>
      <c r="IYO45" s="291"/>
      <c r="IYP45" s="292"/>
      <c r="IYQ45" s="292"/>
      <c r="IYR45" s="292"/>
      <c r="IYS45" s="291"/>
      <c r="IYT45" s="292"/>
      <c r="IYU45" s="292"/>
      <c r="IYV45" s="292"/>
      <c r="IYW45" s="291"/>
      <c r="IYX45" s="292"/>
      <c r="IYY45" s="292"/>
      <c r="IYZ45" s="292"/>
      <c r="IZA45" s="291"/>
      <c r="IZB45" s="292"/>
      <c r="IZC45" s="292"/>
      <c r="IZD45" s="292"/>
      <c r="IZE45" s="291"/>
      <c r="IZF45" s="292"/>
      <c r="IZG45" s="292"/>
      <c r="IZH45" s="292"/>
      <c r="IZI45" s="291"/>
      <c r="IZJ45" s="292"/>
      <c r="IZK45" s="292"/>
      <c r="IZL45" s="292"/>
      <c r="IZM45" s="291"/>
      <c r="IZN45" s="292"/>
      <c r="IZO45" s="292"/>
      <c r="IZP45" s="292"/>
      <c r="IZQ45" s="291"/>
      <c r="IZR45" s="292"/>
      <c r="IZS45" s="292"/>
      <c r="IZT45" s="292"/>
      <c r="IZU45" s="291"/>
      <c r="IZV45" s="292"/>
      <c r="IZW45" s="292"/>
      <c r="IZX45" s="292"/>
      <c r="IZY45" s="291"/>
      <c r="IZZ45" s="292"/>
      <c r="JAA45" s="292"/>
      <c r="JAB45" s="292"/>
      <c r="JAC45" s="291"/>
      <c r="JAD45" s="292"/>
      <c r="JAE45" s="292"/>
      <c r="JAF45" s="292"/>
      <c r="JAG45" s="291"/>
      <c r="JAH45" s="292"/>
      <c r="JAI45" s="292"/>
      <c r="JAJ45" s="292"/>
      <c r="JAK45" s="291"/>
      <c r="JAL45" s="292"/>
      <c r="JAM45" s="292"/>
      <c r="JAN45" s="292"/>
      <c r="JAO45" s="291"/>
      <c r="JAP45" s="292"/>
      <c r="JAQ45" s="292"/>
      <c r="JAR45" s="292"/>
      <c r="JAS45" s="291"/>
      <c r="JAT45" s="292"/>
      <c r="JAU45" s="292"/>
      <c r="JAV45" s="292"/>
      <c r="JAW45" s="291"/>
      <c r="JAX45" s="292"/>
      <c r="JAY45" s="292"/>
      <c r="JAZ45" s="292"/>
      <c r="JBA45" s="291"/>
      <c r="JBB45" s="292"/>
      <c r="JBC45" s="292"/>
      <c r="JBD45" s="292"/>
      <c r="JBE45" s="291"/>
      <c r="JBF45" s="292"/>
      <c r="JBG45" s="292"/>
      <c r="JBH45" s="292"/>
      <c r="JBI45" s="291"/>
      <c r="JBJ45" s="292"/>
      <c r="JBK45" s="292"/>
      <c r="JBL45" s="292"/>
      <c r="JBM45" s="291"/>
      <c r="JBN45" s="292"/>
      <c r="JBO45" s="292"/>
      <c r="JBP45" s="292"/>
      <c r="JBQ45" s="291"/>
      <c r="JBR45" s="292"/>
      <c r="JBS45" s="292"/>
      <c r="JBT45" s="292"/>
      <c r="JBU45" s="291"/>
      <c r="JBV45" s="292"/>
      <c r="JBW45" s="292"/>
      <c r="JBX45" s="292"/>
      <c r="JBY45" s="291"/>
      <c r="JBZ45" s="292"/>
      <c r="JCA45" s="292"/>
      <c r="JCB45" s="292"/>
      <c r="JCC45" s="291"/>
      <c r="JCD45" s="292"/>
      <c r="JCE45" s="292"/>
      <c r="JCF45" s="292"/>
      <c r="JCG45" s="291"/>
      <c r="JCH45" s="292"/>
      <c r="JCI45" s="292"/>
      <c r="JCJ45" s="292"/>
      <c r="JCK45" s="291"/>
      <c r="JCL45" s="292"/>
      <c r="JCM45" s="292"/>
      <c r="JCN45" s="292"/>
      <c r="JCO45" s="291"/>
      <c r="JCP45" s="292"/>
      <c r="JCQ45" s="292"/>
      <c r="JCR45" s="292"/>
      <c r="JCS45" s="291"/>
      <c r="JCT45" s="292"/>
      <c r="JCU45" s="292"/>
      <c r="JCV45" s="292"/>
      <c r="JCW45" s="291"/>
      <c r="JCX45" s="292"/>
      <c r="JCY45" s="292"/>
      <c r="JCZ45" s="292"/>
      <c r="JDA45" s="291"/>
      <c r="JDB45" s="292"/>
      <c r="JDC45" s="292"/>
      <c r="JDD45" s="292"/>
      <c r="JDE45" s="291"/>
      <c r="JDF45" s="292"/>
      <c r="JDG45" s="292"/>
      <c r="JDH45" s="292"/>
      <c r="JDI45" s="291"/>
      <c r="JDJ45" s="292"/>
      <c r="JDK45" s="292"/>
      <c r="JDL45" s="292"/>
      <c r="JDM45" s="291"/>
      <c r="JDN45" s="292"/>
      <c r="JDO45" s="292"/>
      <c r="JDP45" s="292"/>
      <c r="JDQ45" s="291"/>
      <c r="JDR45" s="292"/>
      <c r="JDS45" s="292"/>
      <c r="JDT45" s="292"/>
      <c r="JDU45" s="291"/>
      <c r="JDV45" s="292"/>
      <c r="JDW45" s="292"/>
      <c r="JDX45" s="292"/>
      <c r="JDY45" s="291"/>
      <c r="JDZ45" s="292"/>
      <c r="JEA45" s="292"/>
      <c r="JEB45" s="292"/>
      <c r="JEC45" s="291"/>
      <c r="JED45" s="292"/>
      <c r="JEE45" s="292"/>
      <c r="JEF45" s="292"/>
      <c r="JEG45" s="291"/>
      <c r="JEH45" s="292"/>
      <c r="JEI45" s="292"/>
      <c r="JEJ45" s="292"/>
      <c r="JEK45" s="291"/>
      <c r="JEL45" s="292"/>
      <c r="JEM45" s="292"/>
      <c r="JEN45" s="292"/>
      <c r="JEO45" s="291"/>
      <c r="JEP45" s="292"/>
      <c r="JEQ45" s="292"/>
      <c r="JER45" s="292"/>
      <c r="JES45" s="291"/>
      <c r="JET45" s="292"/>
      <c r="JEU45" s="292"/>
      <c r="JEV45" s="292"/>
      <c r="JEW45" s="291"/>
      <c r="JEX45" s="292"/>
      <c r="JEY45" s="292"/>
      <c r="JEZ45" s="292"/>
      <c r="JFA45" s="291"/>
      <c r="JFB45" s="292"/>
      <c r="JFC45" s="292"/>
      <c r="JFD45" s="292"/>
      <c r="JFE45" s="291"/>
      <c r="JFF45" s="292"/>
      <c r="JFG45" s="292"/>
      <c r="JFH45" s="292"/>
      <c r="JFI45" s="291"/>
      <c r="JFJ45" s="292"/>
      <c r="JFK45" s="292"/>
      <c r="JFL45" s="292"/>
      <c r="JFM45" s="291"/>
      <c r="JFN45" s="292"/>
      <c r="JFO45" s="292"/>
      <c r="JFP45" s="292"/>
      <c r="JFQ45" s="291"/>
      <c r="JFR45" s="292"/>
      <c r="JFS45" s="292"/>
      <c r="JFT45" s="292"/>
      <c r="JFU45" s="291"/>
      <c r="JFV45" s="292"/>
      <c r="JFW45" s="292"/>
      <c r="JFX45" s="292"/>
      <c r="JFY45" s="291"/>
      <c r="JFZ45" s="292"/>
      <c r="JGA45" s="292"/>
      <c r="JGB45" s="292"/>
      <c r="JGC45" s="291"/>
      <c r="JGD45" s="292"/>
      <c r="JGE45" s="292"/>
      <c r="JGF45" s="292"/>
      <c r="JGG45" s="291"/>
      <c r="JGH45" s="292"/>
      <c r="JGI45" s="292"/>
      <c r="JGJ45" s="292"/>
      <c r="JGK45" s="291"/>
      <c r="JGL45" s="292"/>
      <c r="JGM45" s="292"/>
      <c r="JGN45" s="292"/>
      <c r="JGO45" s="291"/>
      <c r="JGP45" s="292"/>
      <c r="JGQ45" s="292"/>
      <c r="JGR45" s="292"/>
      <c r="JGS45" s="291"/>
      <c r="JGT45" s="292"/>
      <c r="JGU45" s="292"/>
      <c r="JGV45" s="292"/>
      <c r="JGW45" s="291"/>
      <c r="JGX45" s="292"/>
      <c r="JGY45" s="292"/>
      <c r="JGZ45" s="292"/>
      <c r="JHA45" s="291"/>
      <c r="JHB45" s="292"/>
      <c r="JHC45" s="292"/>
      <c r="JHD45" s="292"/>
      <c r="JHE45" s="291"/>
      <c r="JHF45" s="292"/>
      <c r="JHG45" s="292"/>
      <c r="JHH45" s="292"/>
      <c r="JHI45" s="291"/>
      <c r="JHJ45" s="292"/>
      <c r="JHK45" s="292"/>
      <c r="JHL45" s="292"/>
      <c r="JHM45" s="291"/>
      <c r="JHN45" s="292"/>
      <c r="JHO45" s="292"/>
      <c r="JHP45" s="292"/>
      <c r="JHQ45" s="291"/>
      <c r="JHR45" s="292"/>
      <c r="JHS45" s="292"/>
      <c r="JHT45" s="292"/>
      <c r="JHU45" s="291"/>
      <c r="JHV45" s="292"/>
      <c r="JHW45" s="292"/>
      <c r="JHX45" s="292"/>
      <c r="JHY45" s="291"/>
      <c r="JHZ45" s="292"/>
      <c r="JIA45" s="292"/>
      <c r="JIB45" s="292"/>
      <c r="JIC45" s="291"/>
      <c r="JID45" s="292"/>
      <c r="JIE45" s="292"/>
      <c r="JIF45" s="292"/>
      <c r="JIG45" s="291"/>
      <c r="JIH45" s="292"/>
      <c r="JII45" s="292"/>
      <c r="JIJ45" s="292"/>
      <c r="JIK45" s="291"/>
      <c r="JIL45" s="292"/>
      <c r="JIM45" s="292"/>
      <c r="JIN45" s="292"/>
      <c r="JIO45" s="291"/>
      <c r="JIP45" s="292"/>
      <c r="JIQ45" s="292"/>
      <c r="JIR45" s="292"/>
      <c r="JIS45" s="291"/>
      <c r="JIT45" s="292"/>
      <c r="JIU45" s="292"/>
      <c r="JIV45" s="292"/>
      <c r="JIW45" s="291"/>
      <c r="JIX45" s="292"/>
      <c r="JIY45" s="292"/>
      <c r="JIZ45" s="292"/>
      <c r="JJA45" s="291"/>
      <c r="JJB45" s="292"/>
      <c r="JJC45" s="292"/>
      <c r="JJD45" s="292"/>
      <c r="JJE45" s="291"/>
      <c r="JJF45" s="292"/>
      <c r="JJG45" s="292"/>
      <c r="JJH45" s="292"/>
      <c r="JJI45" s="291"/>
      <c r="JJJ45" s="292"/>
      <c r="JJK45" s="292"/>
      <c r="JJL45" s="292"/>
      <c r="JJM45" s="291"/>
      <c r="JJN45" s="292"/>
      <c r="JJO45" s="292"/>
      <c r="JJP45" s="292"/>
      <c r="JJQ45" s="291"/>
      <c r="JJR45" s="292"/>
      <c r="JJS45" s="292"/>
      <c r="JJT45" s="292"/>
      <c r="JJU45" s="291"/>
      <c r="JJV45" s="292"/>
      <c r="JJW45" s="292"/>
      <c r="JJX45" s="292"/>
      <c r="JJY45" s="291"/>
      <c r="JJZ45" s="292"/>
      <c r="JKA45" s="292"/>
      <c r="JKB45" s="292"/>
      <c r="JKC45" s="291"/>
      <c r="JKD45" s="292"/>
      <c r="JKE45" s="292"/>
      <c r="JKF45" s="292"/>
      <c r="JKG45" s="291"/>
      <c r="JKH45" s="292"/>
      <c r="JKI45" s="292"/>
      <c r="JKJ45" s="292"/>
      <c r="JKK45" s="291"/>
      <c r="JKL45" s="292"/>
      <c r="JKM45" s="292"/>
      <c r="JKN45" s="292"/>
      <c r="JKO45" s="291"/>
      <c r="JKP45" s="292"/>
      <c r="JKQ45" s="292"/>
      <c r="JKR45" s="292"/>
      <c r="JKS45" s="291"/>
      <c r="JKT45" s="292"/>
      <c r="JKU45" s="292"/>
      <c r="JKV45" s="292"/>
      <c r="JKW45" s="291"/>
      <c r="JKX45" s="292"/>
      <c r="JKY45" s="292"/>
      <c r="JKZ45" s="292"/>
      <c r="JLA45" s="291"/>
      <c r="JLB45" s="292"/>
      <c r="JLC45" s="292"/>
      <c r="JLD45" s="292"/>
      <c r="JLE45" s="291"/>
      <c r="JLF45" s="292"/>
      <c r="JLG45" s="292"/>
      <c r="JLH45" s="292"/>
      <c r="JLI45" s="291"/>
      <c r="JLJ45" s="292"/>
      <c r="JLK45" s="292"/>
      <c r="JLL45" s="292"/>
      <c r="JLM45" s="291"/>
      <c r="JLN45" s="292"/>
      <c r="JLO45" s="292"/>
      <c r="JLP45" s="292"/>
      <c r="JLQ45" s="291"/>
      <c r="JLR45" s="292"/>
      <c r="JLS45" s="292"/>
      <c r="JLT45" s="292"/>
      <c r="JLU45" s="291"/>
      <c r="JLV45" s="292"/>
      <c r="JLW45" s="292"/>
      <c r="JLX45" s="292"/>
      <c r="JLY45" s="291"/>
      <c r="JLZ45" s="292"/>
      <c r="JMA45" s="292"/>
      <c r="JMB45" s="292"/>
      <c r="JMC45" s="291"/>
      <c r="JMD45" s="292"/>
      <c r="JME45" s="292"/>
      <c r="JMF45" s="292"/>
      <c r="JMG45" s="291"/>
      <c r="JMH45" s="292"/>
      <c r="JMI45" s="292"/>
      <c r="JMJ45" s="292"/>
      <c r="JMK45" s="291"/>
      <c r="JML45" s="292"/>
      <c r="JMM45" s="292"/>
      <c r="JMN45" s="292"/>
      <c r="JMO45" s="291"/>
      <c r="JMP45" s="292"/>
      <c r="JMQ45" s="292"/>
      <c r="JMR45" s="292"/>
      <c r="JMS45" s="291"/>
      <c r="JMT45" s="292"/>
      <c r="JMU45" s="292"/>
      <c r="JMV45" s="292"/>
      <c r="JMW45" s="291"/>
      <c r="JMX45" s="292"/>
      <c r="JMY45" s="292"/>
      <c r="JMZ45" s="292"/>
      <c r="JNA45" s="291"/>
      <c r="JNB45" s="292"/>
      <c r="JNC45" s="292"/>
      <c r="JND45" s="292"/>
      <c r="JNE45" s="291"/>
      <c r="JNF45" s="292"/>
      <c r="JNG45" s="292"/>
      <c r="JNH45" s="292"/>
      <c r="JNI45" s="291"/>
      <c r="JNJ45" s="292"/>
      <c r="JNK45" s="292"/>
      <c r="JNL45" s="292"/>
      <c r="JNM45" s="291"/>
      <c r="JNN45" s="292"/>
      <c r="JNO45" s="292"/>
      <c r="JNP45" s="292"/>
      <c r="JNQ45" s="291"/>
      <c r="JNR45" s="292"/>
      <c r="JNS45" s="292"/>
      <c r="JNT45" s="292"/>
      <c r="JNU45" s="291"/>
      <c r="JNV45" s="292"/>
      <c r="JNW45" s="292"/>
      <c r="JNX45" s="292"/>
      <c r="JNY45" s="291"/>
      <c r="JNZ45" s="292"/>
      <c r="JOA45" s="292"/>
      <c r="JOB45" s="292"/>
      <c r="JOC45" s="291"/>
      <c r="JOD45" s="292"/>
      <c r="JOE45" s="292"/>
      <c r="JOF45" s="292"/>
      <c r="JOG45" s="291"/>
      <c r="JOH45" s="292"/>
      <c r="JOI45" s="292"/>
      <c r="JOJ45" s="292"/>
      <c r="JOK45" s="291"/>
      <c r="JOL45" s="292"/>
      <c r="JOM45" s="292"/>
      <c r="JON45" s="292"/>
      <c r="JOO45" s="291"/>
      <c r="JOP45" s="292"/>
      <c r="JOQ45" s="292"/>
      <c r="JOR45" s="292"/>
      <c r="JOS45" s="291"/>
      <c r="JOT45" s="292"/>
      <c r="JOU45" s="292"/>
      <c r="JOV45" s="292"/>
      <c r="JOW45" s="291"/>
      <c r="JOX45" s="292"/>
      <c r="JOY45" s="292"/>
      <c r="JOZ45" s="292"/>
      <c r="JPA45" s="291"/>
      <c r="JPB45" s="292"/>
      <c r="JPC45" s="292"/>
      <c r="JPD45" s="292"/>
      <c r="JPE45" s="291"/>
      <c r="JPF45" s="292"/>
      <c r="JPG45" s="292"/>
      <c r="JPH45" s="292"/>
      <c r="JPI45" s="291"/>
      <c r="JPJ45" s="292"/>
      <c r="JPK45" s="292"/>
      <c r="JPL45" s="292"/>
      <c r="JPM45" s="291"/>
      <c r="JPN45" s="292"/>
      <c r="JPO45" s="292"/>
      <c r="JPP45" s="292"/>
      <c r="JPQ45" s="291"/>
      <c r="JPR45" s="292"/>
      <c r="JPS45" s="292"/>
      <c r="JPT45" s="292"/>
      <c r="JPU45" s="291"/>
      <c r="JPV45" s="292"/>
      <c r="JPW45" s="292"/>
      <c r="JPX45" s="292"/>
      <c r="JPY45" s="291"/>
      <c r="JPZ45" s="292"/>
      <c r="JQA45" s="292"/>
      <c r="JQB45" s="292"/>
      <c r="JQC45" s="291"/>
      <c r="JQD45" s="292"/>
      <c r="JQE45" s="292"/>
      <c r="JQF45" s="292"/>
      <c r="JQG45" s="291"/>
      <c r="JQH45" s="292"/>
      <c r="JQI45" s="292"/>
      <c r="JQJ45" s="292"/>
      <c r="JQK45" s="291"/>
      <c r="JQL45" s="292"/>
      <c r="JQM45" s="292"/>
      <c r="JQN45" s="292"/>
      <c r="JQO45" s="291"/>
      <c r="JQP45" s="292"/>
      <c r="JQQ45" s="292"/>
      <c r="JQR45" s="292"/>
      <c r="JQS45" s="291"/>
      <c r="JQT45" s="292"/>
      <c r="JQU45" s="292"/>
      <c r="JQV45" s="292"/>
      <c r="JQW45" s="291"/>
      <c r="JQX45" s="292"/>
      <c r="JQY45" s="292"/>
      <c r="JQZ45" s="292"/>
      <c r="JRA45" s="291"/>
      <c r="JRB45" s="292"/>
      <c r="JRC45" s="292"/>
      <c r="JRD45" s="292"/>
      <c r="JRE45" s="291"/>
      <c r="JRF45" s="292"/>
      <c r="JRG45" s="292"/>
      <c r="JRH45" s="292"/>
      <c r="JRI45" s="291"/>
      <c r="JRJ45" s="292"/>
      <c r="JRK45" s="292"/>
      <c r="JRL45" s="292"/>
      <c r="JRM45" s="291"/>
      <c r="JRN45" s="292"/>
      <c r="JRO45" s="292"/>
      <c r="JRP45" s="292"/>
      <c r="JRQ45" s="291"/>
      <c r="JRR45" s="292"/>
      <c r="JRS45" s="292"/>
      <c r="JRT45" s="292"/>
      <c r="JRU45" s="291"/>
      <c r="JRV45" s="292"/>
      <c r="JRW45" s="292"/>
      <c r="JRX45" s="292"/>
      <c r="JRY45" s="291"/>
      <c r="JRZ45" s="292"/>
      <c r="JSA45" s="292"/>
      <c r="JSB45" s="292"/>
      <c r="JSC45" s="291"/>
      <c r="JSD45" s="292"/>
      <c r="JSE45" s="292"/>
      <c r="JSF45" s="292"/>
      <c r="JSG45" s="291"/>
      <c r="JSH45" s="292"/>
      <c r="JSI45" s="292"/>
      <c r="JSJ45" s="292"/>
      <c r="JSK45" s="291"/>
      <c r="JSL45" s="292"/>
      <c r="JSM45" s="292"/>
      <c r="JSN45" s="292"/>
      <c r="JSO45" s="291"/>
      <c r="JSP45" s="292"/>
      <c r="JSQ45" s="292"/>
      <c r="JSR45" s="292"/>
      <c r="JSS45" s="291"/>
      <c r="JST45" s="292"/>
      <c r="JSU45" s="292"/>
      <c r="JSV45" s="292"/>
      <c r="JSW45" s="291"/>
      <c r="JSX45" s="292"/>
      <c r="JSY45" s="292"/>
      <c r="JSZ45" s="292"/>
      <c r="JTA45" s="291"/>
      <c r="JTB45" s="292"/>
      <c r="JTC45" s="292"/>
      <c r="JTD45" s="292"/>
      <c r="JTE45" s="291"/>
      <c r="JTF45" s="292"/>
      <c r="JTG45" s="292"/>
      <c r="JTH45" s="292"/>
      <c r="JTI45" s="291"/>
      <c r="JTJ45" s="292"/>
      <c r="JTK45" s="292"/>
      <c r="JTL45" s="292"/>
      <c r="JTM45" s="291"/>
      <c r="JTN45" s="292"/>
      <c r="JTO45" s="292"/>
      <c r="JTP45" s="292"/>
      <c r="JTQ45" s="291"/>
      <c r="JTR45" s="292"/>
      <c r="JTS45" s="292"/>
      <c r="JTT45" s="292"/>
      <c r="JTU45" s="291"/>
      <c r="JTV45" s="292"/>
      <c r="JTW45" s="292"/>
      <c r="JTX45" s="292"/>
      <c r="JTY45" s="291"/>
      <c r="JTZ45" s="292"/>
      <c r="JUA45" s="292"/>
      <c r="JUB45" s="292"/>
      <c r="JUC45" s="291"/>
      <c r="JUD45" s="292"/>
      <c r="JUE45" s="292"/>
      <c r="JUF45" s="292"/>
      <c r="JUG45" s="291"/>
      <c r="JUH45" s="292"/>
      <c r="JUI45" s="292"/>
      <c r="JUJ45" s="292"/>
      <c r="JUK45" s="291"/>
      <c r="JUL45" s="292"/>
      <c r="JUM45" s="292"/>
      <c r="JUN45" s="292"/>
      <c r="JUO45" s="291"/>
      <c r="JUP45" s="292"/>
      <c r="JUQ45" s="292"/>
      <c r="JUR45" s="292"/>
      <c r="JUS45" s="291"/>
      <c r="JUT45" s="292"/>
      <c r="JUU45" s="292"/>
      <c r="JUV45" s="292"/>
      <c r="JUW45" s="291"/>
      <c r="JUX45" s="292"/>
      <c r="JUY45" s="292"/>
      <c r="JUZ45" s="292"/>
      <c r="JVA45" s="291"/>
      <c r="JVB45" s="292"/>
      <c r="JVC45" s="292"/>
      <c r="JVD45" s="292"/>
      <c r="JVE45" s="291"/>
      <c r="JVF45" s="292"/>
      <c r="JVG45" s="292"/>
      <c r="JVH45" s="292"/>
      <c r="JVI45" s="291"/>
      <c r="JVJ45" s="292"/>
      <c r="JVK45" s="292"/>
      <c r="JVL45" s="292"/>
      <c r="JVM45" s="291"/>
      <c r="JVN45" s="292"/>
      <c r="JVO45" s="292"/>
      <c r="JVP45" s="292"/>
      <c r="JVQ45" s="291"/>
      <c r="JVR45" s="292"/>
      <c r="JVS45" s="292"/>
      <c r="JVT45" s="292"/>
      <c r="JVU45" s="291"/>
      <c r="JVV45" s="292"/>
      <c r="JVW45" s="292"/>
      <c r="JVX45" s="292"/>
      <c r="JVY45" s="291"/>
      <c r="JVZ45" s="292"/>
      <c r="JWA45" s="292"/>
      <c r="JWB45" s="292"/>
      <c r="JWC45" s="291"/>
      <c r="JWD45" s="292"/>
      <c r="JWE45" s="292"/>
      <c r="JWF45" s="292"/>
      <c r="JWG45" s="291"/>
      <c r="JWH45" s="292"/>
      <c r="JWI45" s="292"/>
      <c r="JWJ45" s="292"/>
      <c r="JWK45" s="291"/>
      <c r="JWL45" s="292"/>
      <c r="JWM45" s="292"/>
      <c r="JWN45" s="292"/>
      <c r="JWO45" s="291"/>
      <c r="JWP45" s="292"/>
      <c r="JWQ45" s="292"/>
      <c r="JWR45" s="292"/>
      <c r="JWS45" s="291"/>
      <c r="JWT45" s="292"/>
      <c r="JWU45" s="292"/>
      <c r="JWV45" s="292"/>
      <c r="JWW45" s="291"/>
      <c r="JWX45" s="292"/>
      <c r="JWY45" s="292"/>
      <c r="JWZ45" s="292"/>
      <c r="JXA45" s="291"/>
      <c r="JXB45" s="292"/>
      <c r="JXC45" s="292"/>
      <c r="JXD45" s="292"/>
      <c r="JXE45" s="291"/>
      <c r="JXF45" s="292"/>
      <c r="JXG45" s="292"/>
      <c r="JXH45" s="292"/>
      <c r="JXI45" s="291"/>
      <c r="JXJ45" s="292"/>
      <c r="JXK45" s="292"/>
      <c r="JXL45" s="292"/>
      <c r="JXM45" s="291"/>
      <c r="JXN45" s="292"/>
      <c r="JXO45" s="292"/>
      <c r="JXP45" s="292"/>
      <c r="JXQ45" s="291"/>
      <c r="JXR45" s="292"/>
      <c r="JXS45" s="292"/>
      <c r="JXT45" s="292"/>
      <c r="JXU45" s="291"/>
      <c r="JXV45" s="292"/>
      <c r="JXW45" s="292"/>
      <c r="JXX45" s="292"/>
      <c r="JXY45" s="291"/>
      <c r="JXZ45" s="292"/>
      <c r="JYA45" s="292"/>
      <c r="JYB45" s="292"/>
      <c r="JYC45" s="291"/>
      <c r="JYD45" s="292"/>
      <c r="JYE45" s="292"/>
      <c r="JYF45" s="292"/>
      <c r="JYG45" s="291"/>
      <c r="JYH45" s="292"/>
      <c r="JYI45" s="292"/>
      <c r="JYJ45" s="292"/>
      <c r="JYK45" s="291"/>
      <c r="JYL45" s="292"/>
      <c r="JYM45" s="292"/>
      <c r="JYN45" s="292"/>
      <c r="JYO45" s="291"/>
      <c r="JYP45" s="292"/>
      <c r="JYQ45" s="292"/>
      <c r="JYR45" s="292"/>
      <c r="JYS45" s="291"/>
      <c r="JYT45" s="292"/>
      <c r="JYU45" s="292"/>
      <c r="JYV45" s="292"/>
      <c r="JYW45" s="291"/>
      <c r="JYX45" s="292"/>
      <c r="JYY45" s="292"/>
      <c r="JYZ45" s="292"/>
      <c r="JZA45" s="291"/>
      <c r="JZB45" s="292"/>
      <c r="JZC45" s="292"/>
      <c r="JZD45" s="292"/>
      <c r="JZE45" s="291"/>
      <c r="JZF45" s="292"/>
      <c r="JZG45" s="292"/>
      <c r="JZH45" s="292"/>
      <c r="JZI45" s="291"/>
      <c r="JZJ45" s="292"/>
      <c r="JZK45" s="292"/>
      <c r="JZL45" s="292"/>
      <c r="JZM45" s="291"/>
      <c r="JZN45" s="292"/>
      <c r="JZO45" s="292"/>
      <c r="JZP45" s="292"/>
      <c r="JZQ45" s="291"/>
      <c r="JZR45" s="292"/>
      <c r="JZS45" s="292"/>
      <c r="JZT45" s="292"/>
      <c r="JZU45" s="291"/>
      <c r="JZV45" s="292"/>
      <c r="JZW45" s="292"/>
      <c r="JZX45" s="292"/>
      <c r="JZY45" s="291"/>
      <c r="JZZ45" s="292"/>
      <c r="KAA45" s="292"/>
      <c r="KAB45" s="292"/>
      <c r="KAC45" s="291"/>
      <c r="KAD45" s="292"/>
      <c r="KAE45" s="292"/>
      <c r="KAF45" s="292"/>
      <c r="KAG45" s="291"/>
      <c r="KAH45" s="292"/>
      <c r="KAI45" s="292"/>
      <c r="KAJ45" s="292"/>
      <c r="KAK45" s="291"/>
      <c r="KAL45" s="292"/>
      <c r="KAM45" s="292"/>
      <c r="KAN45" s="292"/>
      <c r="KAO45" s="291"/>
      <c r="KAP45" s="292"/>
      <c r="KAQ45" s="292"/>
      <c r="KAR45" s="292"/>
      <c r="KAS45" s="291"/>
      <c r="KAT45" s="292"/>
      <c r="KAU45" s="292"/>
      <c r="KAV45" s="292"/>
      <c r="KAW45" s="291"/>
      <c r="KAX45" s="292"/>
      <c r="KAY45" s="292"/>
      <c r="KAZ45" s="292"/>
      <c r="KBA45" s="291"/>
      <c r="KBB45" s="292"/>
      <c r="KBC45" s="292"/>
      <c r="KBD45" s="292"/>
      <c r="KBE45" s="291"/>
      <c r="KBF45" s="292"/>
      <c r="KBG45" s="292"/>
      <c r="KBH45" s="292"/>
      <c r="KBI45" s="291"/>
      <c r="KBJ45" s="292"/>
      <c r="KBK45" s="292"/>
      <c r="KBL45" s="292"/>
      <c r="KBM45" s="291"/>
      <c r="KBN45" s="292"/>
      <c r="KBO45" s="292"/>
      <c r="KBP45" s="292"/>
      <c r="KBQ45" s="291"/>
      <c r="KBR45" s="292"/>
      <c r="KBS45" s="292"/>
      <c r="KBT45" s="292"/>
      <c r="KBU45" s="291"/>
      <c r="KBV45" s="292"/>
      <c r="KBW45" s="292"/>
      <c r="KBX45" s="292"/>
      <c r="KBY45" s="291"/>
      <c r="KBZ45" s="292"/>
      <c r="KCA45" s="292"/>
      <c r="KCB45" s="292"/>
      <c r="KCC45" s="291"/>
      <c r="KCD45" s="292"/>
      <c r="KCE45" s="292"/>
      <c r="KCF45" s="292"/>
      <c r="KCG45" s="291"/>
      <c r="KCH45" s="292"/>
      <c r="KCI45" s="292"/>
      <c r="KCJ45" s="292"/>
      <c r="KCK45" s="291"/>
      <c r="KCL45" s="292"/>
      <c r="KCM45" s="292"/>
      <c r="KCN45" s="292"/>
      <c r="KCO45" s="291"/>
      <c r="KCP45" s="292"/>
      <c r="KCQ45" s="292"/>
      <c r="KCR45" s="292"/>
      <c r="KCS45" s="291"/>
      <c r="KCT45" s="292"/>
      <c r="KCU45" s="292"/>
      <c r="KCV45" s="292"/>
      <c r="KCW45" s="291"/>
      <c r="KCX45" s="292"/>
      <c r="KCY45" s="292"/>
      <c r="KCZ45" s="292"/>
      <c r="KDA45" s="291"/>
      <c r="KDB45" s="292"/>
      <c r="KDC45" s="292"/>
      <c r="KDD45" s="292"/>
      <c r="KDE45" s="291"/>
      <c r="KDF45" s="292"/>
      <c r="KDG45" s="292"/>
      <c r="KDH45" s="292"/>
      <c r="KDI45" s="291"/>
      <c r="KDJ45" s="292"/>
      <c r="KDK45" s="292"/>
      <c r="KDL45" s="292"/>
      <c r="KDM45" s="291"/>
      <c r="KDN45" s="292"/>
      <c r="KDO45" s="292"/>
      <c r="KDP45" s="292"/>
      <c r="KDQ45" s="291"/>
      <c r="KDR45" s="292"/>
      <c r="KDS45" s="292"/>
      <c r="KDT45" s="292"/>
      <c r="KDU45" s="291"/>
      <c r="KDV45" s="292"/>
      <c r="KDW45" s="292"/>
      <c r="KDX45" s="292"/>
      <c r="KDY45" s="291"/>
      <c r="KDZ45" s="292"/>
      <c r="KEA45" s="292"/>
      <c r="KEB45" s="292"/>
      <c r="KEC45" s="291"/>
      <c r="KED45" s="292"/>
      <c r="KEE45" s="292"/>
      <c r="KEF45" s="292"/>
      <c r="KEG45" s="291"/>
      <c r="KEH45" s="292"/>
      <c r="KEI45" s="292"/>
      <c r="KEJ45" s="292"/>
      <c r="KEK45" s="291"/>
      <c r="KEL45" s="292"/>
      <c r="KEM45" s="292"/>
      <c r="KEN45" s="292"/>
      <c r="KEO45" s="291"/>
      <c r="KEP45" s="292"/>
      <c r="KEQ45" s="292"/>
      <c r="KER45" s="292"/>
      <c r="KES45" s="291"/>
      <c r="KET45" s="292"/>
      <c r="KEU45" s="292"/>
      <c r="KEV45" s="292"/>
      <c r="KEW45" s="291"/>
      <c r="KEX45" s="292"/>
      <c r="KEY45" s="292"/>
      <c r="KEZ45" s="292"/>
      <c r="KFA45" s="291"/>
      <c r="KFB45" s="292"/>
      <c r="KFC45" s="292"/>
      <c r="KFD45" s="292"/>
      <c r="KFE45" s="291"/>
      <c r="KFF45" s="292"/>
      <c r="KFG45" s="292"/>
      <c r="KFH45" s="292"/>
      <c r="KFI45" s="291"/>
      <c r="KFJ45" s="292"/>
      <c r="KFK45" s="292"/>
      <c r="KFL45" s="292"/>
      <c r="KFM45" s="291"/>
      <c r="KFN45" s="292"/>
      <c r="KFO45" s="292"/>
      <c r="KFP45" s="292"/>
      <c r="KFQ45" s="291"/>
      <c r="KFR45" s="292"/>
      <c r="KFS45" s="292"/>
      <c r="KFT45" s="292"/>
      <c r="KFU45" s="291"/>
      <c r="KFV45" s="292"/>
      <c r="KFW45" s="292"/>
      <c r="KFX45" s="292"/>
      <c r="KFY45" s="291"/>
      <c r="KFZ45" s="292"/>
      <c r="KGA45" s="292"/>
      <c r="KGB45" s="292"/>
      <c r="KGC45" s="291"/>
      <c r="KGD45" s="292"/>
      <c r="KGE45" s="292"/>
      <c r="KGF45" s="292"/>
      <c r="KGG45" s="291"/>
      <c r="KGH45" s="292"/>
      <c r="KGI45" s="292"/>
      <c r="KGJ45" s="292"/>
      <c r="KGK45" s="291"/>
      <c r="KGL45" s="292"/>
      <c r="KGM45" s="292"/>
      <c r="KGN45" s="292"/>
      <c r="KGO45" s="291"/>
      <c r="KGP45" s="292"/>
      <c r="KGQ45" s="292"/>
      <c r="KGR45" s="292"/>
      <c r="KGS45" s="291"/>
      <c r="KGT45" s="292"/>
      <c r="KGU45" s="292"/>
      <c r="KGV45" s="292"/>
      <c r="KGW45" s="291"/>
      <c r="KGX45" s="292"/>
      <c r="KGY45" s="292"/>
      <c r="KGZ45" s="292"/>
      <c r="KHA45" s="291"/>
      <c r="KHB45" s="292"/>
      <c r="KHC45" s="292"/>
      <c r="KHD45" s="292"/>
      <c r="KHE45" s="291"/>
      <c r="KHF45" s="292"/>
      <c r="KHG45" s="292"/>
      <c r="KHH45" s="292"/>
      <c r="KHI45" s="291"/>
      <c r="KHJ45" s="292"/>
      <c r="KHK45" s="292"/>
      <c r="KHL45" s="292"/>
      <c r="KHM45" s="291"/>
      <c r="KHN45" s="292"/>
      <c r="KHO45" s="292"/>
      <c r="KHP45" s="292"/>
      <c r="KHQ45" s="291"/>
      <c r="KHR45" s="292"/>
      <c r="KHS45" s="292"/>
      <c r="KHT45" s="292"/>
      <c r="KHU45" s="291"/>
      <c r="KHV45" s="292"/>
      <c r="KHW45" s="292"/>
      <c r="KHX45" s="292"/>
      <c r="KHY45" s="291"/>
      <c r="KHZ45" s="292"/>
      <c r="KIA45" s="292"/>
      <c r="KIB45" s="292"/>
      <c r="KIC45" s="291"/>
      <c r="KID45" s="292"/>
      <c r="KIE45" s="292"/>
      <c r="KIF45" s="292"/>
      <c r="KIG45" s="291"/>
      <c r="KIH45" s="292"/>
      <c r="KII45" s="292"/>
      <c r="KIJ45" s="292"/>
      <c r="KIK45" s="291"/>
      <c r="KIL45" s="292"/>
      <c r="KIM45" s="292"/>
      <c r="KIN45" s="292"/>
      <c r="KIO45" s="291"/>
      <c r="KIP45" s="292"/>
      <c r="KIQ45" s="292"/>
      <c r="KIR45" s="292"/>
      <c r="KIS45" s="291"/>
      <c r="KIT45" s="292"/>
      <c r="KIU45" s="292"/>
      <c r="KIV45" s="292"/>
      <c r="KIW45" s="291"/>
      <c r="KIX45" s="292"/>
      <c r="KIY45" s="292"/>
      <c r="KIZ45" s="292"/>
      <c r="KJA45" s="291"/>
      <c r="KJB45" s="292"/>
      <c r="KJC45" s="292"/>
      <c r="KJD45" s="292"/>
      <c r="KJE45" s="291"/>
      <c r="KJF45" s="292"/>
      <c r="KJG45" s="292"/>
      <c r="KJH45" s="292"/>
      <c r="KJI45" s="291"/>
      <c r="KJJ45" s="292"/>
      <c r="KJK45" s="292"/>
      <c r="KJL45" s="292"/>
      <c r="KJM45" s="291"/>
      <c r="KJN45" s="292"/>
      <c r="KJO45" s="292"/>
      <c r="KJP45" s="292"/>
      <c r="KJQ45" s="291"/>
      <c r="KJR45" s="292"/>
      <c r="KJS45" s="292"/>
      <c r="KJT45" s="292"/>
      <c r="KJU45" s="291"/>
      <c r="KJV45" s="292"/>
      <c r="KJW45" s="292"/>
      <c r="KJX45" s="292"/>
      <c r="KJY45" s="291"/>
      <c r="KJZ45" s="292"/>
      <c r="KKA45" s="292"/>
      <c r="KKB45" s="292"/>
      <c r="KKC45" s="291"/>
      <c r="KKD45" s="292"/>
      <c r="KKE45" s="292"/>
      <c r="KKF45" s="292"/>
      <c r="KKG45" s="291"/>
      <c r="KKH45" s="292"/>
      <c r="KKI45" s="292"/>
      <c r="KKJ45" s="292"/>
      <c r="KKK45" s="291"/>
      <c r="KKL45" s="292"/>
      <c r="KKM45" s="292"/>
      <c r="KKN45" s="292"/>
      <c r="KKO45" s="291"/>
      <c r="KKP45" s="292"/>
      <c r="KKQ45" s="292"/>
      <c r="KKR45" s="292"/>
      <c r="KKS45" s="291"/>
      <c r="KKT45" s="292"/>
      <c r="KKU45" s="292"/>
      <c r="KKV45" s="292"/>
      <c r="KKW45" s="291"/>
      <c r="KKX45" s="292"/>
      <c r="KKY45" s="292"/>
      <c r="KKZ45" s="292"/>
      <c r="KLA45" s="291"/>
      <c r="KLB45" s="292"/>
      <c r="KLC45" s="292"/>
      <c r="KLD45" s="292"/>
      <c r="KLE45" s="291"/>
      <c r="KLF45" s="292"/>
      <c r="KLG45" s="292"/>
      <c r="KLH45" s="292"/>
      <c r="KLI45" s="291"/>
      <c r="KLJ45" s="292"/>
      <c r="KLK45" s="292"/>
      <c r="KLL45" s="292"/>
      <c r="KLM45" s="291"/>
      <c r="KLN45" s="292"/>
      <c r="KLO45" s="292"/>
      <c r="KLP45" s="292"/>
      <c r="KLQ45" s="291"/>
      <c r="KLR45" s="292"/>
      <c r="KLS45" s="292"/>
      <c r="KLT45" s="292"/>
      <c r="KLU45" s="291"/>
      <c r="KLV45" s="292"/>
      <c r="KLW45" s="292"/>
      <c r="KLX45" s="292"/>
      <c r="KLY45" s="291"/>
      <c r="KLZ45" s="292"/>
      <c r="KMA45" s="292"/>
      <c r="KMB45" s="292"/>
      <c r="KMC45" s="291"/>
      <c r="KMD45" s="292"/>
      <c r="KME45" s="292"/>
      <c r="KMF45" s="292"/>
      <c r="KMG45" s="291"/>
      <c r="KMH45" s="292"/>
      <c r="KMI45" s="292"/>
      <c r="KMJ45" s="292"/>
      <c r="KMK45" s="291"/>
      <c r="KML45" s="292"/>
      <c r="KMM45" s="292"/>
      <c r="KMN45" s="292"/>
      <c r="KMO45" s="291"/>
      <c r="KMP45" s="292"/>
      <c r="KMQ45" s="292"/>
      <c r="KMR45" s="292"/>
      <c r="KMS45" s="291"/>
      <c r="KMT45" s="292"/>
      <c r="KMU45" s="292"/>
      <c r="KMV45" s="292"/>
      <c r="KMW45" s="291"/>
      <c r="KMX45" s="292"/>
      <c r="KMY45" s="292"/>
      <c r="KMZ45" s="292"/>
      <c r="KNA45" s="291"/>
      <c r="KNB45" s="292"/>
      <c r="KNC45" s="292"/>
      <c r="KND45" s="292"/>
      <c r="KNE45" s="291"/>
      <c r="KNF45" s="292"/>
      <c r="KNG45" s="292"/>
      <c r="KNH45" s="292"/>
      <c r="KNI45" s="291"/>
      <c r="KNJ45" s="292"/>
      <c r="KNK45" s="292"/>
      <c r="KNL45" s="292"/>
      <c r="KNM45" s="291"/>
      <c r="KNN45" s="292"/>
      <c r="KNO45" s="292"/>
      <c r="KNP45" s="292"/>
      <c r="KNQ45" s="291"/>
      <c r="KNR45" s="292"/>
      <c r="KNS45" s="292"/>
      <c r="KNT45" s="292"/>
      <c r="KNU45" s="291"/>
      <c r="KNV45" s="292"/>
      <c r="KNW45" s="292"/>
      <c r="KNX45" s="292"/>
      <c r="KNY45" s="291"/>
      <c r="KNZ45" s="292"/>
      <c r="KOA45" s="292"/>
      <c r="KOB45" s="292"/>
      <c r="KOC45" s="291"/>
      <c r="KOD45" s="292"/>
      <c r="KOE45" s="292"/>
      <c r="KOF45" s="292"/>
      <c r="KOG45" s="291"/>
      <c r="KOH45" s="292"/>
      <c r="KOI45" s="292"/>
      <c r="KOJ45" s="292"/>
      <c r="KOK45" s="291"/>
      <c r="KOL45" s="292"/>
      <c r="KOM45" s="292"/>
      <c r="KON45" s="292"/>
      <c r="KOO45" s="291"/>
      <c r="KOP45" s="292"/>
      <c r="KOQ45" s="292"/>
      <c r="KOR45" s="292"/>
      <c r="KOS45" s="291"/>
      <c r="KOT45" s="292"/>
      <c r="KOU45" s="292"/>
      <c r="KOV45" s="292"/>
      <c r="KOW45" s="291"/>
      <c r="KOX45" s="292"/>
      <c r="KOY45" s="292"/>
      <c r="KOZ45" s="292"/>
      <c r="KPA45" s="291"/>
      <c r="KPB45" s="292"/>
      <c r="KPC45" s="292"/>
      <c r="KPD45" s="292"/>
      <c r="KPE45" s="291"/>
      <c r="KPF45" s="292"/>
      <c r="KPG45" s="292"/>
      <c r="KPH45" s="292"/>
      <c r="KPI45" s="291"/>
      <c r="KPJ45" s="292"/>
      <c r="KPK45" s="292"/>
      <c r="KPL45" s="292"/>
      <c r="KPM45" s="291"/>
      <c r="KPN45" s="292"/>
      <c r="KPO45" s="292"/>
      <c r="KPP45" s="292"/>
      <c r="KPQ45" s="291"/>
      <c r="KPR45" s="292"/>
      <c r="KPS45" s="292"/>
      <c r="KPT45" s="292"/>
      <c r="KPU45" s="291"/>
      <c r="KPV45" s="292"/>
      <c r="KPW45" s="292"/>
      <c r="KPX45" s="292"/>
      <c r="KPY45" s="291"/>
      <c r="KPZ45" s="292"/>
      <c r="KQA45" s="292"/>
      <c r="KQB45" s="292"/>
      <c r="KQC45" s="291"/>
      <c r="KQD45" s="292"/>
      <c r="KQE45" s="292"/>
      <c r="KQF45" s="292"/>
      <c r="KQG45" s="291"/>
      <c r="KQH45" s="292"/>
      <c r="KQI45" s="292"/>
      <c r="KQJ45" s="292"/>
      <c r="KQK45" s="291"/>
      <c r="KQL45" s="292"/>
      <c r="KQM45" s="292"/>
      <c r="KQN45" s="292"/>
      <c r="KQO45" s="291"/>
      <c r="KQP45" s="292"/>
      <c r="KQQ45" s="292"/>
      <c r="KQR45" s="292"/>
      <c r="KQS45" s="291"/>
      <c r="KQT45" s="292"/>
      <c r="KQU45" s="292"/>
      <c r="KQV45" s="292"/>
      <c r="KQW45" s="291"/>
      <c r="KQX45" s="292"/>
      <c r="KQY45" s="292"/>
      <c r="KQZ45" s="292"/>
      <c r="KRA45" s="291"/>
      <c r="KRB45" s="292"/>
      <c r="KRC45" s="292"/>
      <c r="KRD45" s="292"/>
      <c r="KRE45" s="291"/>
      <c r="KRF45" s="292"/>
      <c r="KRG45" s="292"/>
      <c r="KRH45" s="292"/>
      <c r="KRI45" s="291"/>
      <c r="KRJ45" s="292"/>
      <c r="KRK45" s="292"/>
      <c r="KRL45" s="292"/>
      <c r="KRM45" s="291"/>
      <c r="KRN45" s="292"/>
      <c r="KRO45" s="292"/>
      <c r="KRP45" s="292"/>
      <c r="KRQ45" s="291"/>
      <c r="KRR45" s="292"/>
      <c r="KRS45" s="292"/>
      <c r="KRT45" s="292"/>
      <c r="KRU45" s="291"/>
      <c r="KRV45" s="292"/>
      <c r="KRW45" s="292"/>
      <c r="KRX45" s="292"/>
      <c r="KRY45" s="291"/>
      <c r="KRZ45" s="292"/>
      <c r="KSA45" s="292"/>
      <c r="KSB45" s="292"/>
      <c r="KSC45" s="291"/>
      <c r="KSD45" s="292"/>
      <c r="KSE45" s="292"/>
      <c r="KSF45" s="292"/>
      <c r="KSG45" s="291"/>
      <c r="KSH45" s="292"/>
      <c r="KSI45" s="292"/>
      <c r="KSJ45" s="292"/>
      <c r="KSK45" s="291"/>
      <c r="KSL45" s="292"/>
      <c r="KSM45" s="292"/>
      <c r="KSN45" s="292"/>
      <c r="KSO45" s="291"/>
      <c r="KSP45" s="292"/>
      <c r="KSQ45" s="292"/>
      <c r="KSR45" s="292"/>
      <c r="KSS45" s="291"/>
      <c r="KST45" s="292"/>
      <c r="KSU45" s="292"/>
      <c r="KSV45" s="292"/>
      <c r="KSW45" s="291"/>
      <c r="KSX45" s="292"/>
      <c r="KSY45" s="292"/>
      <c r="KSZ45" s="292"/>
      <c r="KTA45" s="291"/>
      <c r="KTB45" s="292"/>
      <c r="KTC45" s="292"/>
      <c r="KTD45" s="292"/>
      <c r="KTE45" s="291"/>
      <c r="KTF45" s="292"/>
      <c r="KTG45" s="292"/>
      <c r="KTH45" s="292"/>
      <c r="KTI45" s="291"/>
      <c r="KTJ45" s="292"/>
      <c r="KTK45" s="292"/>
      <c r="KTL45" s="292"/>
      <c r="KTM45" s="291"/>
      <c r="KTN45" s="292"/>
      <c r="KTO45" s="292"/>
      <c r="KTP45" s="292"/>
      <c r="KTQ45" s="291"/>
      <c r="KTR45" s="292"/>
      <c r="KTS45" s="292"/>
      <c r="KTT45" s="292"/>
      <c r="KTU45" s="291"/>
      <c r="KTV45" s="292"/>
      <c r="KTW45" s="292"/>
      <c r="KTX45" s="292"/>
      <c r="KTY45" s="291"/>
      <c r="KTZ45" s="292"/>
      <c r="KUA45" s="292"/>
      <c r="KUB45" s="292"/>
      <c r="KUC45" s="291"/>
      <c r="KUD45" s="292"/>
      <c r="KUE45" s="292"/>
      <c r="KUF45" s="292"/>
      <c r="KUG45" s="291"/>
      <c r="KUH45" s="292"/>
      <c r="KUI45" s="292"/>
      <c r="KUJ45" s="292"/>
      <c r="KUK45" s="291"/>
      <c r="KUL45" s="292"/>
      <c r="KUM45" s="292"/>
      <c r="KUN45" s="292"/>
      <c r="KUO45" s="291"/>
      <c r="KUP45" s="292"/>
      <c r="KUQ45" s="292"/>
      <c r="KUR45" s="292"/>
      <c r="KUS45" s="291"/>
      <c r="KUT45" s="292"/>
      <c r="KUU45" s="292"/>
      <c r="KUV45" s="292"/>
      <c r="KUW45" s="291"/>
      <c r="KUX45" s="292"/>
      <c r="KUY45" s="292"/>
      <c r="KUZ45" s="292"/>
      <c r="KVA45" s="291"/>
      <c r="KVB45" s="292"/>
      <c r="KVC45" s="292"/>
      <c r="KVD45" s="292"/>
      <c r="KVE45" s="291"/>
      <c r="KVF45" s="292"/>
      <c r="KVG45" s="292"/>
      <c r="KVH45" s="292"/>
      <c r="KVI45" s="291"/>
      <c r="KVJ45" s="292"/>
      <c r="KVK45" s="292"/>
      <c r="KVL45" s="292"/>
      <c r="KVM45" s="291"/>
      <c r="KVN45" s="292"/>
      <c r="KVO45" s="292"/>
      <c r="KVP45" s="292"/>
      <c r="KVQ45" s="291"/>
      <c r="KVR45" s="292"/>
      <c r="KVS45" s="292"/>
      <c r="KVT45" s="292"/>
      <c r="KVU45" s="291"/>
      <c r="KVV45" s="292"/>
      <c r="KVW45" s="292"/>
      <c r="KVX45" s="292"/>
      <c r="KVY45" s="291"/>
      <c r="KVZ45" s="292"/>
      <c r="KWA45" s="292"/>
      <c r="KWB45" s="292"/>
      <c r="KWC45" s="291"/>
      <c r="KWD45" s="292"/>
      <c r="KWE45" s="292"/>
      <c r="KWF45" s="292"/>
      <c r="KWG45" s="291"/>
      <c r="KWH45" s="292"/>
      <c r="KWI45" s="292"/>
      <c r="KWJ45" s="292"/>
      <c r="KWK45" s="291"/>
      <c r="KWL45" s="292"/>
      <c r="KWM45" s="292"/>
      <c r="KWN45" s="292"/>
      <c r="KWO45" s="291"/>
      <c r="KWP45" s="292"/>
      <c r="KWQ45" s="292"/>
      <c r="KWR45" s="292"/>
      <c r="KWS45" s="291"/>
      <c r="KWT45" s="292"/>
      <c r="KWU45" s="292"/>
      <c r="KWV45" s="292"/>
      <c r="KWW45" s="291"/>
      <c r="KWX45" s="292"/>
      <c r="KWY45" s="292"/>
      <c r="KWZ45" s="292"/>
      <c r="KXA45" s="291"/>
      <c r="KXB45" s="292"/>
      <c r="KXC45" s="292"/>
      <c r="KXD45" s="292"/>
      <c r="KXE45" s="291"/>
      <c r="KXF45" s="292"/>
      <c r="KXG45" s="292"/>
      <c r="KXH45" s="292"/>
      <c r="KXI45" s="291"/>
      <c r="KXJ45" s="292"/>
      <c r="KXK45" s="292"/>
      <c r="KXL45" s="292"/>
      <c r="KXM45" s="291"/>
      <c r="KXN45" s="292"/>
      <c r="KXO45" s="292"/>
      <c r="KXP45" s="292"/>
      <c r="KXQ45" s="291"/>
      <c r="KXR45" s="292"/>
      <c r="KXS45" s="292"/>
      <c r="KXT45" s="292"/>
      <c r="KXU45" s="291"/>
      <c r="KXV45" s="292"/>
      <c r="KXW45" s="292"/>
      <c r="KXX45" s="292"/>
      <c r="KXY45" s="291"/>
      <c r="KXZ45" s="292"/>
      <c r="KYA45" s="292"/>
      <c r="KYB45" s="292"/>
      <c r="KYC45" s="291"/>
      <c r="KYD45" s="292"/>
      <c r="KYE45" s="292"/>
      <c r="KYF45" s="292"/>
      <c r="KYG45" s="291"/>
      <c r="KYH45" s="292"/>
      <c r="KYI45" s="292"/>
      <c r="KYJ45" s="292"/>
      <c r="KYK45" s="291"/>
      <c r="KYL45" s="292"/>
      <c r="KYM45" s="292"/>
      <c r="KYN45" s="292"/>
      <c r="KYO45" s="291"/>
      <c r="KYP45" s="292"/>
      <c r="KYQ45" s="292"/>
      <c r="KYR45" s="292"/>
      <c r="KYS45" s="291"/>
      <c r="KYT45" s="292"/>
      <c r="KYU45" s="292"/>
      <c r="KYV45" s="292"/>
      <c r="KYW45" s="291"/>
      <c r="KYX45" s="292"/>
      <c r="KYY45" s="292"/>
      <c r="KYZ45" s="292"/>
      <c r="KZA45" s="291"/>
      <c r="KZB45" s="292"/>
      <c r="KZC45" s="292"/>
      <c r="KZD45" s="292"/>
      <c r="KZE45" s="291"/>
      <c r="KZF45" s="292"/>
      <c r="KZG45" s="292"/>
      <c r="KZH45" s="292"/>
      <c r="KZI45" s="291"/>
      <c r="KZJ45" s="292"/>
      <c r="KZK45" s="292"/>
      <c r="KZL45" s="292"/>
      <c r="KZM45" s="291"/>
      <c r="KZN45" s="292"/>
      <c r="KZO45" s="292"/>
      <c r="KZP45" s="292"/>
      <c r="KZQ45" s="291"/>
      <c r="KZR45" s="292"/>
      <c r="KZS45" s="292"/>
      <c r="KZT45" s="292"/>
      <c r="KZU45" s="291"/>
      <c r="KZV45" s="292"/>
      <c r="KZW45" s="292"/>
      <c r="KZX45" s="292"/>
      <c r="KZY45" s="291"/>
      <c r="KZZ45" s="292"/>
      <c r="LAA45" s="292"/>
      <c r="LAB45" s="292"/>
      <c r="LAC45" s="291"/>
      <c r="LAD45" s="292"/>
      <c r="LAE45" s="292"/>
      <c r="LAF45" s="292"/>
      <c r="LAG45" s="291"/>
      <c r="LAH45" s="292"/>
      <c r="LAI45" s="292"/>
      <c r="LAJ45" s="292"/>
      <c r="LAK45" s="291"/>
      <c r="LAL45" s="292"/>
      <c r="LAM45" s="292"/>
      <c r="LAN45" s="292"/>
      <c r="LAO45" s="291"/>
      <c r="LAP45" s="292"/>
      <c r="LAQ45" s="292"/>
      <c r="LAR45" s="292"/>
      <c r="LAS45" s="291"/>
      <c r="LAT45" s="292"/>
      <c r="LAU45" s="292"/>
      <c r="LAV45" s="292"/>
      <c r="LAW45" s="291"/>
      <c r="LAX45" s="292"/>
      <c r="LAY45" s="292"/>
      <c r="LAZ45" s="292"/>
      <c r="LBA45" s="291"/>
      <c r="LBB45" s="292"/>
      <c r="LBC45" s="292"/>
      <c r="LBD45" s="292"/>
      <c r="LBE45" s="291"/>
      <c r="LBF45" s="292"/>
      <c r="LBG45" s="292"/>
      <c r="LBH45" s="292"/>
      <c r="LBI45" s="291"/>
      <c r="LBJ45" s="292"/>
      <c r="LBK45" s="292"/>
      <c r="LBL45" s="292"/>
      <c r="LBM45" s="291"/>
      <c r="LBN45" s="292"/>
      <c r="LBO45" s="292"/>
      <c r="LBP45" s="292"/>
      <c r="LBQ45" s="291"/>
      <c r="LBR45" s="292"/>
      <c r="LBS45" s="292"/>
      <c r="LBT45" s="292"/>
      <c r="LBU45" s="291"/>
      <c r="LBV45" s="292"/>
      <c r="LBW45" s="292"/>
      <c r="LBX45" s="292"/>
      <c r="LBY45" s="291"/>
      <c r="LBZ45" s="292"/>
      <c r="LCA45" s="292"/>
      <c r="LCB45" s="292"/>
      <c r="LCC45" s="291"/>
      <c r="LCD45" s="292"/>
      <c r="LCE45" s="292"/>
      <c r="LCF45" s="292"/>
      <c r="LCG45" s="291"/>
      <c r="LCH45" s="292"/>
      <c r="LCI45" s="292"/>
      <c r="LCJ45" s="292"/>
      <c r="LCK45" s="291"/>
      <c r="LCL45" s="292"/>
      <c r="LCM45" s="292"/>
      <c r="LCN45" s="292"/>
      <c r="LCO45" s="291"/>
      <c r="LCP45" s="292"/>
      <c r="LCQ45" s="292"/>
      <c r="LCR45" s="292"/>
      <c r="LCS45" s="291"/>
      <c r="LCT45" s="292"/>
      <c r="LCU45" s="292"/>
      <c r="LCV45" s="292"/>
      <c r="LCW45" s="291"/>
      <c r="LCX45" s="292"/>
      <c r="LCY45" s="292"/>
      <c r="LCZ45" s="292"/>
      <c r="LDA45" s="291"/>
      <c r="LDB45" s="292"/>
      <c r="LDC45" s="292"/>
      <c r="LDD45" s="292"/>
      <c r="LDE45" s="291"/>
      <c r="LDF45" s="292"/>
      <c r="LDG45" s="292"/>
      <c r="LDH45" s="292"/>
      <c r="LDI45" s="291"/>
      <c r="LDJ45" s="292"/>
      <c r="LDK45" s="292"/>
      <c r="LDL45" s="292"/>
      <c r="LDM45" s="291"/>
      <c r="LDN45" s="292"/>
      <c r="LDO45" s="292"/>
      <c r="LDP45" s="292"/>
      <c r="LDQ45" s="291"/>
      <c r="LDR45" s="292"/>
      <c r="LDS45" s="292"/>
      <c r="LDT45" s="292"/>
      <c r="LDU45" s="291"/>
      <c r="LDV45" s="292"/>
      <c r="LDW45" s="292"/>
      <c r="LDX45" s="292"/>
      <c r="LDY45" s="291"/>
      <c r="LDZ45" s="292"/>
      <c r="LEA45" s="292"/>
      <c r="LEB45" s="292"/>
      <c r="LEC45" s="291"/>
      <c r="LED45" s="292"/>
      <c r="LEE45" s="292"/>
      <c r="LEF45" s="292"/>
      <c r="LEG45" s="291"/>
      <c r="LEH45" s="292"/>
      <c r="LEI45" s="292"/>
      <c r="LEJ45" s="292"/>
      <c r="LEK45" s="291"/>
      <c r="LEL45" s="292"/>
      <c r="LEM45" s="292"/>
      <c r="LEN45" s="292"/>
      <c r="LEO45" s="291"/>
      <c r="LEP45" s="292"/>
      <c r="LEQ45" s="292"/>
      <c r="LER45" s="292"/>
      <c r="LES45" s="291"/>
      <c r="LET45" s="292"/>
      <c r="LEU45" s="292"/>
      <c r="LEV45" s="292"/>
      <c r="LEW45" s="291"/>
      <c r="LEX45" s="292"/>
      <c r="LEY45" s="292"/>
      <c r="LEZ45" s="292"/>
      <c r="LFA45" s="291"/>
      <c r="LFB45" s="292"/>
      <c r="LFC45" s="292"/>
      <c r="LFD45" s="292"/>
      <c r="LFE45" s="291"/>
      <c r="LFF45" s="292"/>
      <c r="LFG45" s="292"/>
      <c r="LFH45" s="292"/>
      <c r="LFI45" s="291"/>
      <c r="LFJ45" s="292"/>
      <c r="LFK45" s="292"/>
      <c r="LFL45" s="292"/>
      <c r="LFM45" s="291"/>
      <c r="LFN45" s="292"/>
      <c r="LFO45" s="292"/>
      <c r="LFP45" s="292"/>
      <c r="LFQ45" s="291"/>
      <c r="LFR45" s="292"/>
      <c r="LFS45" s="292"/>
      <c r="LFT45" s="292"/>
      <c r="LFU45" s="291"/>
      <c r="LFV45" s="292"/>
      <c r="LFW45" s="292"/>
      <c r="LFX45" s="292"/>
      <c r="LFY45" s="291"/>
      <c r="LFZ45" s="292"/>
      <c r="LGA45" s="292"/>
      <c r="LGB45" s="292"/>
      <c r="LGC45" s="291"/>
      <c r="LGD45" s="292"/>
      <c r="LGE45" s="292"/>
      <c r="LGF45" s="292"/>
      <c r="LGG45" s="291"/>
      <c r="LGH45" s="292"/>
      <c r="LGI45" s="292"/>
      <c r="LGJ45" s="292"/>
      <c r="LGK45" s="291"/>
      <c r="LGL45" s="292"/>
      <c r="LGM45" s="292"/>
      <c r="LGN45" s="292"/>
      <c r="LGO45" s="291"/>
      <c r="LGP45" s="292"/>
      <c r="LGQ45" s="292"/>
      <c r="LGR45" s="292"/>
      <c r="LGS45" s="291"/>
      <c r="LGT45" s="292"/>
      <c r="LGU45" s="292"/>
      <c r="LGV45" s="292"/>
      <c r="LGW45" s="291"/>
      <c r="LGX45" s="292"/>
      <c r="LGY45" s="292"/>
      <c r="LGZ45" s="292"/>
      <c r="LHA45" s="291"/>
      <c r="LHB45" s="292"/>
      <c r="LHC45" s="292"/>
      <c r="LHD45" s="292"/>
      <c r="LHE45" s="291"/>
      <c r="LHF45" s="292"/>
      <c r="LHG45" s="292"/>
      <c r="LHH45" s="292"/>
      <c r="LHI45" s="291"/>
      <c r="LHJ45" s="292"/>
      <c r="LHK45" s="292"/>
      <c r="LHL45" s="292"/>
      <c r="LHM45" s="291"/>
      <c r="LHN45" s="292"/>
      <c r="LHO45" s="292"/>
      <c r="LHP45" s="292"/>
      <c r="LHQ45" s="291"/>
      <c r="LHR45" s="292"/>
      <c r="LHS45" s="292"/>
      <c r="LHT45" s="292"/>
      <c r="LHU45" s="291"/>
      <c r="LHV45" s="292"/>
      <c r="LHW45" s="292"/>
      <c r="LHX45" s="292"/>
      <c r="LHY45" s="291"/>
      <c r="LHZ45" s="292"/>
      <c r="LIA45" s="292"/>
      <c r="LIB45" s="292"/>
      <c r="LIC45" s="291"/>
      <c r="LID45" s="292"/>
      <c r="LIE45" s="292"/>
      <c r="LIF45" s="292"/>
      <c r="LIG45" s="291"/>
      <c r="LIH45" s="292"/>
      <c r="LII45" s="292"/>
      <c r="LIJ45" s="292"/>
      <c r="LIK45" s="291"/>
      <c r="LIL45" s="292"/>
      <c r="LIM45" s="292"/>
      <c r="LIN45" s="292"/>
      <c r="LIO45" s="291"/>
      <c r="LIP45" s="292"/>
      <c r="LIQ45" s="292"/>
      <c r="LIR45" s="292"/>
      <c r="LIS45" s="291"/>
      <c r="LIT45" s="292"/>
      <c r="LIU45" s="292"/>
      <c r="LIV45" s="292"/>
      <c r="LIW45" s="291"/>
      <c r="LIX45" s="292"/>
      <c r="LIY45" s="292"/>
      <c r="LIZ45" s="292"/>
      <c r="LJA45" s="291"/>
      <c r="LJB45" s="292"/>
      <c r="LJC45" s="292"/>
      <c r="LJD45" s="292"/>
      <c r="LJE45" s="291"/>
      <c r="LJF45" s="292"/>
      <c r="LJG45" s="292"/>
      <c r="LJH45" s="292"/>
      <c r="LJI45" s="291"/>
      <c r="LJJ45" s="292"/>
      <c r="LJK45" s="292"/>
      <c r="LJL45" s="292"/>
      <c r="LJM45" s="291"/>
      <c r="LJN45" s="292"/>
      <c r="LJO45" s="292"/>
      <c r="LJP45" s="292"/>
      <c r="LJQ45" s="291"/>
      <c r="LJR45" s="292"/>
      <c r="LJS45" s="292"/>
      <c r="LJT45" s="292"/>
      <c r="LJU45" s="291"/>
      <c r="LJV45" s="292"/>
      <c r="LJW45" s="292"/>
      <c r="LJX45" s="292"/>
      <c r="LJY45" s="291"/>
      <c r="LJZ45" s="292"/>
      <c r="LKA45" s="292"/>
      <c r="LKB45" s="292"/>
      <c r="LKC45" s="291"/>
      <c r="LKD45" s="292"/>
      <c r="LKE45" s="292"/>
      <c r="LKF45" s="292"/>
      <c r="LKG45" s="291"/>
      <c r="LKH45" s="292"/>
      <c r="LKI45" s="292"/>
      <c r="LKJ45" s="292"/>
      <c r="LKK45" s="291"/>
      <c r="LKL45" s="292"/>
      <c r="LKM45" s="292"/>
      <c r="LKN45" s="292"/>
      <c r="LKO45" s="291"/>
      <c r="LKP45" s="292"/>
      <c r="LKQ45" s="292"/>
      <c r="LKR45" s="292"/>
      <c r="LKS45" s="291"/>
      <c r="LKT45" s="292"/>
      <c r="LKU45" s="292"/>
      <c r="LKV45" s="292"/>
      <c r="LKW45" s="291"/>
      <c r="LKX45" s="292"/>
      <c r="LKY45" s="292"/>
      <c r="LKZ45" s="292"/>
      <c r="LLA45" s="291"/>
      <c r="LLB45" s="292"/>
      <c r="LLC45" s="292"/>
      <c r="LLD45" s="292"/>
      <c r="LLE45" s="291"/>
      <c r="LLF45" s="292"/>
      <c r="LLG45" s="292"/>
      <c r="LLH45" s="292"/>
      <c r="LLI45" s="291"/>
      <c r="LLJ45" s="292"/>
      <c r="LLK45" s="292"/>
      <c r="LLL45" s="292"/>
      <c r="LLM45" s="291"/>
      <c r="LLN45" s="292"/>
      <c r="LLO45" s="292"/>
      <c r="LLP45" s="292"/>
      <c r="LLQ45" s="291"/>
      <c r="LLR45" s="292"/>
      <c r="LLS45" s="292"/>
      <c r="LLT45" s="292"/>
      <c r="LLU45" s="291"/>
      <c r="LLV45" s="292"/>
      <c r="LLW45" s="292"/>
      <c r="LLX45" s="292"/>
      <c r="LLY45" s="291"/>
      <c r="LLZ45" s="292"/>
      <c r="LMA45" s="292"/>
      <c r="LMB45" s="292"/>
      <c r="LMC45" s="291"/>
      <c r="LMD45" s="292"/>
      <c r="LME45" s="292"/>
      <c r="LMF45" s="292"/>
      <c r="LMG45" s="291"/>
      <c r="LMH45" s="292"/>
      <c r="LMI45" s="292"/>
      <c r="LMJ45" s="292"/>
      <c r="LMK45" s="291"/>
      <c r="LML45" s="292"/>
      <c r="LMM45" s="292"/>
      <c r="LMN45" s="292"/>
      <c r="LMO45" s="291"/>
      <c r="LMP45" s="292"/>
      <c r="LMQ45" s="292"/>
      <c r="LMR45" s="292"/>
      <c r="LMS45" s="291"/>
      <c r="LMT45" s="292"/>
      <c r="LMU45" s="292"/>
      <c r="LMV45" s="292"/>
      <c r="LMW45" s="291"/>
      <c r="LMX45" s="292"/>
      <c r="LMY45" s="292"/>
      <c r="LMZ45" s="292"/>
      <c r="LNA45" s="291"/>
      <c r="LNB45" s="292"/>
      <c r="LNC45" s="292"/>
      <c r="LND45" s="292"/>
      <c r="LNE45" s="291"/>
      <c r="LNF45" s="292"/>
      <c r="LNG45" s="292"/>
      <c r="LNH45" s="292"/>
      <c r="LNI45" s="291"/>
      <c r="LNJ45" s="292"/>
      <c r="LNK45" s="292"/>
      <c r="LNL45" s="292"/>
      <c r="LNM45" s="291"/>
      <c r="LNN45" s="292"/>
      <c r="LNO45" s="292"/>
      <c r="LNP45" s="292"/>
      <c r="LNQ45" s="291"/>
      <c r="LNR45" s="292"/>
      <c r="LNS45" s="292"/>
      <c r="LNT45" s="292"/>
      <c r="LNU45" s="291"/>
      <c r="LNV45" s="292"/>
      <c r="LNW45" s="292"/>
      <c r="LNX45" s="292"/>
      <c r="LNY45" s="291"/>
      <c r="LNZ45" s="292"/>
      <c r="LOA45" s="292"/>
      <c r="LOB45" s="292"/>
      <c r="LOC45" s="291"/>
      <c r="LOD45" s="292"/>
      <c r="LOE45" s="292"/>
      <c r="LOF45" s="292"/>
      <c r="LOG45" s="291"/>
      <c r="LOH45" s="292"/>
      <c r="LOI45" s="292"/>
      <c r="LOJ45" s="292"/>
      <c r="LOK45" s="291"/>
      <c r="LOL45" s="292"/>
      <c r="LOM45" s="292"/>
      <c r="LON45" s="292"/>
      <c r="LOO45" s="291"/>
      <c r="LOP45" s="292"/>
      <c r="LOQ45" s="292"/>
      <c r="LOR45" s="292"/>
      <c r="LOS45" s="291"/>
      <c r="LOT45" s="292"/>
      <c r="LOU45" s="292"/>
      <c r="LOV45" s="292"/>
      <c r="LOW45" s="291"/>
      <c r="LOX45" s="292"/>
      <c r="LOY45" s="292"/>
      <c r="LOZ45" s="292"/>
      <c r="LPA45" s="291"/>
      <c r="LPB45" s="292"/>
      <c r="LPC45" s="292"/>
      <c r="LPD45" s="292"/>
      <c r="LPE45" s="291"/>
      <c r="LPF45" s="292"/>
      <c r="LPG45" s="292"/>
      <c r="LPH45" s="292"/>
      <c r="LPI45" s="291"/>
      <c r="LPJ45" s="292"/>
      <c r="LPK45" s="292"/>
      <c r="LPL45" s="292"/>
      <c r="LPM45" s="291"/>
      <c r="LPN45" s="292"/>
      <c r="LPO45" s="292"/>
      <c r="LPP45" s="292"/>
      <c r="LPQ45" s="291"/>
      <c r="LPR45" s="292"/>
      <c r="LPS45" s="292"/>
      <c r="LPT45" s="292"/>
      <c r="LPU45" s="291"/>
      <c r="LPV45" s="292"/>
      <c r="LPW45" s="292"/>
      <c r="LPX45" s="292"/>
      <c r="LPY45" s="291"/>
      <c r="LPZ45" s="292"/>
      <c r="LQA45" s="292"/>
      <c r="LQB45" s="292"/>
      <c r="LQC45" s="291"/>
      <c r="LQD45" s="292"/>
      <c r="LQE45" s="292"/>
      <c r="LQF45" s="292"/>
      <c r="LQG45" s="291"/>
      <c r="LQH45" s="292"/>
      <c r="LQI45" s="292"/>
      <c r="LQJ45" s="292"/>
      <c r="LQK45" s="291"/>
      <c r="LQL45" s="292"/>
      <c r="LQM45" s="292"/>
      <c r="LQN45" s="292"/>
      <c r="LQO45" s="291"/>
      <c r="LQP45" s="292"/>
      <c r="LQQ45" s="292"/>
      <c r="LQR45" s="292"/>
      <c r="LQS45" s="291"/>
      <c r="LQT45" s="292"/>
      <c r="LQU45" s="292"/>
      <c r="LQV45" s="292"/>
      <c r="LQW45" s="291"/>
      <c r="LQX45" s="292"/>
      <c r="LQY45" s="292"/>
      <c r="LQZ45" s="292"/>
      <c r="LRA45" s="291"/>
      <c r="LRB45" s="292"/>
      <c r="LRC45" s="292"/>
      <c r="LRD45" s="292"/>
      <c r="LRE45" s="291"/>
      <c r="LRF45" s="292"/>
      <c r="LRG45" s="292"/>
      <c r="LRH45" s="292"/>
      <c r="LRI45" s="291"/>
      <c r="LRJ45" s="292"/>
      <c r="LRK45" s="292"/>
      <c r="LRL45" s="292"/>
      <c r="LRM45" s="291"/>
      <c r="LRN45" s="292"/>
      <c r="LRO45" s="292"/>
      <c r="LRP45" s="292"/>
      <c r="LRQ45" s="291"/>
      <c r="LRR45" s="292"/>
      <c r="LRS45" s="292"/>
      <c r="LRT45" s="292"/>
      <c r="LRU45" s="291"/>
      <c r="LRV45" s="292"/>
      <c r="LRW45" s="292"/>
      <c r="LRX45" s="292"/>
      <c r="LRY45" s="291"/>
      <c r="LRZ45" s="292"/>
      <c r="LSA45" s="292"/>
      <c r="LSB45" s="292"/>
      <c r="LSC45" s="291"/>
      <c r="LSD45" s="292"/>
      <c r="LSE45" s="292"/>
      <c r="LSF45" s="292"/>
      <c r="LSG45" s="291"/>
      <c r="LSH45" s="292"/>
      <c r="LSI45" s="292"/>
      <c r="LSJ45" s="292"/>
      <c r="LSK45" s="291"/>
      <c r="LSL45" s="292"/>
      <c r="LSM45" s="292"/>
      <c r="LSN45" s="292"/>
      <c r="LSO45" s="291"/>
      <c r="LSP45" s="292"/>
      <c r="LSQ45" s="292"/>
      <c r="LSR45" s="292"/>
      <c r="LSS45" s="291"/>
      <c r="LST45" s="292"/>
      <c r="LSU45" s="292"/>
      <c r="LSV45" s="292"/>
      <c r="LSW45" s="291"/>
      <c r="LSX45" s="292"/>
      <c r="LSY45" s="292"/>
      <c r="LSZ45" s="292"/>
      <c r="LTA45" s="291"/>
      <c r="LTB45" s="292"/>
      <c r="LTC45" s="292"/>
      <c r="LTD45" s="292"/>
      <c r="LTE45" s="291"/>
      <c r="LTF45" s="292"/>
      <c r="LTG45" s="292"/>
      <c r="LTH45" s="292"/>
      <c r="LTI45" s="291"/>
      <c r="LTJ45" s="292"/>
      <c r="LTK45" s="292"/>
      <c r="LTL45" s="292"/>
      <c r="LTM45" s="291"/>
      <c r="LTN45" s="292"/>
      <c r="LTO45" s="292"/>
      <c r="LTP45" s="292"/>
      <c r="LTQ45" s="291"/>
      <c r="LTR45" s="292"/>
      <c r="LTS45" s="292"/>
      <c r="LTT45" s="292"/>
      <c r="LTU45" s="291"/>
      <c r="LTV45" s="292"/>
      <c r="LTW45" s="292"/>
      <c r="LTX45" s="292"/>
      <c r="LTY45" s="291"/>
      <c r="LTZ45" s="292"/>
      <c r="LUA45" s="292"/>
      <c r="LUB45" s="292"/>
      <c r="LUC45" s="291"/>
      <c r="LUD45" s="292"/>
      <c r="LUE45" s="292"/>
      <c r="LUF45" s="292"/>
      <c r="LUG45" s="291"/>
      <c r="LUH45" s="292"/>
      <c r="LUI45" s="292"/>
      <c r="LUJ45" s="292"/>
      <c r="LUK45" s="291"/>
      <c r="LUL45" s="292"/>
      <c r="LUM45" s="292"/>
      <c r="LUN45" s="292"/>
      <c r="LUO45" s="291"/>
      <c r="LUP45" s="292"/>
      <c r="LUQ45" s="292"/>
      <c r="LUR45" s="292"/>
      <c r="LUS45" s="291"/>
      <c r="LUT45" s="292"/>
      <c r="LUU45" s="292"/>
      <c r="LUV45" s="292"/>
      <c r="LUW45" s="291"/>
      <c r="LUX45" s="292"/>
      <c r="LUY45" s="292"/>
      <c r="LUZ45" s="292"/>
      <c r="LVA45" s="291"/>
      <c r="LVB45" s="292"/>
      <c r="LVC45" s="292"/>
      <c r="LVD45" s="292"/>
      <c r="LVE45" s="291"/>
      <c r="LVF45" s="292"/>
      <c r="LVG45" s="292"/>
      <c r="LVH45" s="292"/>
      <c r="LVI45" s="291"/>
      <c r="LVJ45" s="292"/>
      <c r="LVK45" s="292"/>
      <c r="LVL45" s="292"/>
      <c r="LVM45" s="291"/>
      <c r="LVN45" s="292"/>
      <c r="LVO45" s="292"/>
      <c r="LVP45" s="292"/>
      <c r="LVQ45" s="291"/>
      <c r="LVR45" s="292"/>
      <c r="LVS45" s="292"/>
      <c r="LVT45" s="292"/>
      <c r="LVU45" s="291"/>
      <c r="LVV45" s="292"/>
      <c r="LVW45" s="292"/>
      <c r="LVX45" s="292"/>
      <c r="LVY45" s="291"/>
      <c r="LVZ45" s="292"/>
      <c r="LWA45" s="292"/>
      <c r="LWB45" s="292"/>
      <c r="LWC45" s="291"/>
      <c r="LWD45" s="292"/>
      <c r="LWE45" s="292"/>
      <c r="LWF45" s="292"/>
      <c r="LWG45" s="291"/>
      <c r="LWH45" s="292"/>
      <c r="LWI45" s="292"/>
      <c r="LWJ45" s="292"/>
      <c r="LWK45" s="291"/>
      <c r="LWL45" s="292"/>
      <c r="LWM45" s="292"/>
      <c r="LWN45" s="292"/>
      <c r="LWO45" s="291"/>
      <c r="LWP45" s="292"/>
      <c r="LWQ45" s="292"/>
      <c r="LWR45" s="292"/>
      <c r="LWS45" s="291"/>
      <c r="LWT45" s="292"/>
      <c r="LWU45" s="292"/>
      <c r="LWV45" s="292"/>
      <c r="LWW45" s="291"/>
      <c r="LWX45" s="292"/>
      <c r="LWY45" s="292"/>
      <c r="LWZ45" s="292"/>
      <c r="LXA45" s="291"/>
      <c r="LXB45" s="292"/>
      <c r="LXC45" s="292"/>
      <c r="LXD45" s="292"/>
      <c r="LXE45" s="291"/>
      <c r="LXF45" s="292"/>
      <c r="LXG45" s="292"/>
      <c r="LXH45" s="292"/>
      <c r="LXI45" s="291"/>
      <c r="LXJ45" s="292"/>
      <c r="LXK45" s="292"/>
      <c r="LXL45" s="292"/>
      <c r="LXM45" s="291"/>
      <c r="LXN45" s="292"/>
      <c r="LXO45" s="292"/>
      <c r="LXP45" s="292"/>
      <c r="LXQ45" s="291"/>
      <c r="LXR45" s="292"/>
      <c r="LXS45" s="292"/>
      <c r="LXT45" s="292"/>
      <c r="LXU45" s="291"/>
      <c r="LXV45" s="292"/>
      <c r="LXW45" s="292"/>
      <c r="LXX45" s="292"/>
      <c r="LXY45" s="291"/>
      <c r="LXZ45" s="292"/>
      <c r="LYA45" s="292"/>
      <c r="LYB45" s="292"/>
      <c r="LYC45" s="291"/>
      <c r="LYD45" s="292"/>
      <c r="LYE45" s="292"/>
      <c r="LYF45" s="292"/>
      <c r="LYG45" s="291"/>
      <c r="LYH45" s="292"/>
      <c r="LYI45" s="292"/>
      <c r="LYJ45" s="292"/>
      <c r="LYK45" s="291"/>
      <c r="LYL45" s="292"/>
      <c r="LYM45" s="292"/>
      <c r="LYN45" s="292"/>
      <c r="LYO45" s="291"/>
      <c r="LYP45" s="292"/>
      <c r="LYQ45" s="292"/>
      <c r="LYR45" s="292"/>
      <c r="LYS45" s="291"/>
      <c r="LYT45" s="292"/>
      <c r="LYU45" s="292"/>
      <c r="LYV45" s="292"/>
      <c r="LYW45" s="291"/>
      <c r="LYX45" s="292"/>
      <c r="LYY45" s="292"/>
      <c r="LYZ45" s="292"/>
      <c r="LZA45" s="291"/>
      <c r="LZB45" s="292"/>
      <c r="LZC45" s="292"/>
      <c r="LZD45" s="292"/>
      <c r="LZE45" s="291"/>
      <c r="LZF45" s="292"/>
      <c r="LZG45" s="292"/>
      <c r="LZH45" s="292"/>
      <c r="LZI45" s="291"/>
      <c r="LZJ45" s="292"/>
      <c r="LZK45" s="292"/>
      <c r="LZL45" s="292"/>
      <c r="LZM45" s="291"/>
      <c r="LZN45" s="292"/>
      <c r="LZO45" s="292"/>
      <c r="LZP45" s="292"/>
      <c r="LZQ45" s="291"/>
      <c r="LZR45" s="292"/>
      <c r="LZS45" s="292"/>
      <c r="LZT45" s="292"/>
      <c r="LZU45" s="291"/>
      <c r="LZV45" s="292"/>
      <c r="LZW45" s="292"/>
      <c r="LZX45" s="292"/>
      <c r="LZY45" s="291"/>
      <c r="LZZ45" s="292"/>
      <c r="MAA45" s="292"/>
      <c r="MAB45" s="292"/>
      <c r="MAC45" s="291"/>
      <c r="MAD45" s="292"/>
      <c r="MAE45" s="292"/>
      <c r="MAF45" s="292"/>
      <c r="MAG45" s="291"/>
      <c r="MAH45" s="292"/>
      <c r="MAI45" s="292"/>
      <c r="MAJ45" s="292"/>
      <c r="MAK45" s="291"/>
      <c r="MAL45" s="292"/>
      <c r="MAM45" s="292"/>
      <c r="MAN45" s="292"/>
      <c r="MAO45" s="291"/>
      <c r="MAP45" s="292"/>
      <c r="MAQ45" s="292"/>
      <c r="MAR45" s="292"/>
      <c r="MAS45" s="291"/>
      <c r="MAT45" s="292"/>
      <c r="MAU45" s="292"/>
      <c r="MAV45" s="292"/>
      <c r="MAW45" s="291"/>
      <c r="MAX45" s="292"/>
      <c r="MAY45" s="292"/>
      <c r="MAZ45" s="292"/>
      <c r="MBA45" s="291"/>
      <c r="MBB45" s="292"/>
      <c r="MBC45" s="292"/>
      <c r="MBD45" s="292"/>
      <c r="MBE45" s="291"/>
      <c r="MBF45" s="292"/>
      <c r="MBG45" s="292"/>
      <c r="MBH45" s="292"/>
      <c r="MBI45" s="291"/>
      <c r="MBJ45" s="292"/>
      <c r="MBK45" s="292"/>
      <c r="MBL45" s="292"/>
      <c r="MBM45" s="291"/>
      <c r="MBN45" s="292"/>
      <c r="MBO45" s="292"/>
      <c r="MBP45" s="292"/>
      <c r="MBQ45" s="291"/>
      <c r="MBR45" s="292"/>
      <c r="MBS45" s="292"/>
      <c r="MBT45" s="292"/>
      <c r="MBU45" s="291"/>
      <c r="MBV45" s="292"/>
      <c r="MBW45" s="292"/>
      <c r="MBX45" s="292"/>
      <c r="MBY45" s="291"/>
      <c r="MBZ45" s="292"/>
      <c r="MCA45" s="292"/>
      <c r="MCB45" s="292"/>
      <c r="MCC45" s="291"/>
      <c r="MCD45" s="292"/>
      <c r="MCE45" s="292"/>
      <c r="MCF45" s="292"/>
      <c r="MCG45" s="291"/>
      <c r="MCH45" s="292"/>
      <c r="MCI45" s="292"/>
      <c r="MCJ45" s="292"/>
      <c r="MCK45" s="291"/>
      <c r="MCL45" s="292"/>
      <c r="MCM45" s="292"/>
      <c r="MCN45" s="292"/>
      <c r="MCO45" s="291"/>
      <c r="MCP45" s="292"/>
      <c r="MCQ45" s="292"/>
      <c r="MCR45" s="292"/>
      <c r="MCS45" s="291"/>
      <c r="MCT45" s="292"/>
      <c r="MCU45" s="292"/>
      <c r="MCV45" s="292"/>
      <c r="MCW45" s="291"/>
      <c r="MCX45" s="292"/>
      <c r="MCY45" s="292"/>
      <c r="MCZ45" s="292"/>
      <c r="MDA45" s="291"/>
      <c r="MDB45" s="292"/>
      <c r="MDC45" s="292"/>
      <c r="MDD45" s="292"/>
      <c r="MDE45" s="291"/>
      <c r="MDF45" s="292"/>
      <c r="MDG45" s="292"/>
      <c r="MDH45" s="292"/>
      <c r="MDI45" s="291"/>
      <c r="MDJ45" s="292"/>
      <c r="MDK45" s="292"/>
      <c r="MDL45" s="292"/>
      <c r="MDM45" s="291"/>
      <c r="MDN45" s="292"/>
      <c r="MDO45" s="292"/>
      <c r="MDP45" s="292"/>
      <c r="MDQ45" s="291"/>
      <c r="MDR45" s="292"/>
      <c r="MDS45" s="292"/>
      <c r="MDT45" s="292"/>
      <c r="MDU45" s="291"/>
      <c r="MDV45" s="292"/>
      <c r="MDW45" s="292"/>
      <c r="MDX45" s="292"/>
      <c r="MDY45" s="291"/>
      <c r="MDZ45" s="292"/>
      <c r="MEA45" s="292"/>
      <c r="MEB45" s="292"/>
      <c r="MEC45" s="291"/>
      <c r="MED45" s="292"/>
      <c r="MEE45" s="292"/>
      <c r="MEF45" s="292"/>
      <c r="MEG45" s="291"/>
      <c r="MEH45" s="292"/>
      <c r="MEI45" s="292"/>
      <c r="MEJ45" s="292"/>
      <c r="MEK45" s="291"/>
      <c r="MEL45" s="292"/>
      <c r="MEM45" s="292"/>
      <c r="MEN45" s="292"/>
      <c r="MEO45" s="291"/>
      <c r="MEP45" s="292"/>
      <c r="MEQ45" s="292"/>
      <c r="MER45" s="292"/>
      <c r="MES45" s="291"/>
      <c r="MET45" s="292"/>
      <c r="MEU45" s="292"/>
      <c r="MEV45" s="292"/>
      <c r="MEW45" s="291"/>
      <c r="MEX45" s="292"/>
      <c r="MEY45" s="292"/>
      <c r="MEZ45" s="292"/>
      <c r="MFA45" s="291"/>
      <c r="MFB45" s="292"/>
      <c r="MFC45" s="292"/>
      <c r="MFD45" s="292"/>
      <c r="MFE45" s="291"/>
      <c r="MFF45" s="292"/>
      <c r="MFG45" s="292"/>
      <c r="MFH45" s="292"/>
      <c r="MFI45" s="291"/>
      <c r="MFJ45" s="292"/>
      <c r="MFK45" s="292"/>
      <c r="MFL45" s="292"/>
      <c r="MFM45" s="291"/>
      <c r="MFN45" s="292"/>
      <c r="MFO45" s="292"/>
      <c r="MFP45" s="292"/>
      <c r="MFQ45" s="291"/>
      <c r="MFR45" s="292"/>
      <c r="MFS45" s="292"/>
      <c r="MFT45" s="292"/>
      <c r="MFU45" s="291"/>
      <c r="MFV45" s="292"/>
      <c r="MFW45" s="292"/>
      <c r="MFX45" s="292"/>
      <c r="MFY45" s="291"/>
      <c r="MFZ45" s="292"/>
      <c r="MGA45" s="292"/>
      <c r="MGB45" s="292"/>
      <c r="MGC45" s="291"/>
      <c r="MGD45" s="292"/>
      <c r="MGE45" s="292"/>
      <c r="MGF45" s="292"/>
      <c r="MGG45" s="291"/>
      <c r="MGH45" s="292"/>
      <c r="MGI45" s="292"/>
      <c r="MGJ45" s="292"/>
      <c r="MGK45" s="291"/>
      <c r="MGL45" s="292"/>
      <c r="MGM45" s="292"/>
      <c r="MGN45" s="292"/>
      <c r="MGO45" s="291"/>
      <c r="MGP45" s="292"/>
      <c r="MGQ45" s="292"/>
      <c r="MGR45" s="292"/>
      <c r="MGS45" s="291"/>
      <c r="MGT45" s="292"/>
      <c r="MGU45" s="292"/>
      <c r="MGV45" s="292"/>
      <c r="MGW45" s="291"/>
      <c r="MGX45" s="292"/>
      <c r="MGY45" s="292"/>
      <c r="MGZ45" s="292"/>
      <c r="MHA45" s="291"/>
      <c r="MHB45" s="292"/>
      <c r="MHC45" s="292"/>
      <c r="MHD45" s="292"/>
      <c r="MHE45" s="291"/>
      <c r="MHF45" s="292"/>
      <c r="MHG45" s="292"/>
      <c r="MHH45" s="292"/>
      <c r="MHI45" s="291"/>
      <c r="MHJ45" s="292"/>
      <c r="MHK45" s="292"/>
      <c r="MHL45" s="292"/>
      <c r="MHM45" s="291"/>
      <c r="MHN45" s="292"/>
      <c r="MHO45" s="292"/>
      <c r="MHP45" s="292"/>
      <c r="MHQ45" s="291"/>
      <c r="MHR45" s="292"/>
      <c r="MHS45" s="292"/>
      <c r="MHT45" s="292"/>
      <c r="MHU45" s="291"/>
      <c r="MHV45" s="292"/>
      <c r="MHW45" s="292"/>
      <c r="MHX45" s="292"/>
      <c r="MHY45" s="291"/>
      <c r="MHZ45" s="292"/>
      <c r="MIA45" s="292"/>
      <c r="MIB45" s="292"/>
      <c r="MIC45" s="291"/>
      <c r="MID45" s="292"/>
      <c r="MIE45" s="292"/>
      <c r="MIF45" s="292"/>
      <c r="MIG45" s="291"/>
      <c r="MIH45" s="292"/>
      <c r="MII45" s="292"/>
      <c r="MIJ45" s="292"/>
      <c r="MIK45" s="291"/>
      <c r="MIL45" s="292"/>
      <c r="MIM45" s="292"/>
      <c r="MIN45" s="292"/>
      <c r="MIO45" s="291"/>
      <c r="MIP45" s="292"/>
      <c r="MIQ45" s="292"/>
      <c r="MIR45" s="292"/>
      <c r="MIS45" s="291"/>
      <c r="MIT45" s="292"/>
      <c r="MIU45" s="292"/>
      <c r="MIV45" s="292"/>
      <c r="MIW45" s="291"/>
      <c r="MIX45" s="292"/>
      <c r="MIY45" s="292"/>
      <c r="MIZ45" s="292"/>
      <c r="MJA45" s="291"/>
      <c r="MJB45" s="292"/>
      <c r="MJC45" s="292"/>
      <c r="MJD45" s="292"/>
      <c r="MJE45" s="291"/>
      <c r="MJF45" s="292"/>
      <c r="MJG45" s="292"/>
      <c r="MJH45" s="292"/>
      <c r="MJI45" s="291"/>
      <c r="MJJ45" s="292"/>
      <c r="MJK45" s="292"/>
      <c r="MJL45" s="292"/>
      <c r="MJM45" s="291"/>
      <c r="MJN45" s="292"/>
      <c r="MJO45" s="292"/>
      <c r="MJP45" s="292"/>
      <c r="MJQ45" s="291"/>
      <c r="MJR45" s="292"/>
      <c r="MJS45" s="292"/>
      <c r="MJT45" s="292"/>
      <c r="MJU45" s="291"/>
      <c r="MJV45" s="292"/>
      <c r="MJW45" s="292"/>
      <c r="MJX45" s="292"/>
      <c r="MJY45" s="291"/>
      <c r="MJZ45" s="292"/>
      <c r="MKA45" s="292"/>
      <c r="MKB45" s="292"/>
      <c r="MKC45" s="291"/>
      <c r="MKD45" s="292"/>
      <c r="MKE45" s="292"/>
      <c r="MKF45" s="292"/>
      <c r="MKG45" s="291"/>
      <c r="MKH45" s="292"/>
      <c r="MKI45" s="292"/>
      <c r="MKJ45" s="292"/>
      <c r="MKK45" s="291"/>
      <c r="MKL45" s="292"/>
      <c r="MKM45" s="292"/>
      <c r="MKN45" s="292"/>
      <c r="MKO45" s="291"/>
      <c r="MKP45" s="292"/>
      <c r="MKQ45" s="292"/>
      <c r="MKR45" s="292"/>
      <c r="MKS45" s="291"/>
      <c r="MKT45" s="292"/>
      <c r="MKU45" s="292"/>
      <c r="MKV45" s="292"/>
      <c r="MKW45" s="291"/>
      <c r="MKX45" s="292"/>
      <c r="MKY45" s="292"/>
      <c r="MKZ45" s="292"/>
      <c r="MLA45" s="291"/>
      <c r="MLB45" s="292"/>
      <c r="MLC45" s="292"/>
      <c r="MLD45" s="292"/>
      <c r="MLE45" s="291"/>
      <c r="MLF45" s="292"/>
      <c r="MLG45" s="292"/>
      <c r="MLH45" s="292"/>
      <c r="MLI45" s="291"/>
      <c r="MLJ45" s="292"/>
      <c r="MLK45" s="292"/>
      <c r="MLL45" s="292"/>
      <c r="MLM45" s="291"/>
      <c r="MLN45" s="292"/>
      <c r="MLO45" s="292"/>
      <c r="MLP45" s="292"/>
      <c r="MLQ45" s="291"/>
      <c r="MLR45" s="292"/>
      <c r="MLS45" s="292"/>
      <c r="MLT45" s="292"/>
      <c r="MLU45" s="291"/>
      <c r="MLV45" s="292"/>
      <c r="MLW45" s="292"/>
      <c r="MLX45" s="292"/>
      <c r="MLY45" s="291"/>
      <c r="MLZ45" s="292"/>
      <c r="MMA45" s="292"/>
      <c r="MMB45" s="292"/>
      <c r="MMC45" s="291"/>
      <c r="MMD45" s="292"/>
      <c r="MME45" s="292"/>
      <c r="MMF45" s="292"/>
      <c r="MMG45" s="291"/>
      <c r="MMH45" s="292"/>
      <c r="MMI45" s="292"/>
      <c r="MMJ45" s="292"/>
      <c r="MMK45" s="291"/>
      <c r="MML45" s="292"/>
      <c r="MMM45" s="292"/>
      <c r="MMN45" s="292"/>
      <c r="MMO45" s="291"/>
      <c r="MMP45" s="292"/>
      <c r="MMQ45" s="292"/>
      <c r="MMR45" s="292"/>
      <c r="MMS45" s="291"/>
      <c r="MMT45" s="292"/>
      <c r="MMU45" s="292"/>
      <c r="MMV45" s="292"/>
      <c r="MMW45" s="291"/>
      <c r="MMX45" s="292"/>
      <c r="MMY45" s="292"/>
      <c r="MMZ45" s="292"/>
      <c r="MNA45" s="291"/>
      <c r="MNB45" s="292"/>
      <c r="MNC45" s="292"/>
      <c r="MND45" s="292"/>
      <c r="MNE45" s="291"/>
      <c r="MNF45" s="292"/>
      <c r="MNG45" s="292"/>
      <c r="MNH45" s="292"/>
      <c r="MNI45" s="291"/>
      <c r="MNJ45" s="292"/>
      <c r="MNK45" s="292"/>
      <c r="MNL45" s="292"/>
      <c r="MNM45" s="291"/>
      <c r="MNN45" s="292"/>
      <c r="MNO45" s="292"/>
      <c r="MNP45" s="292"/>
      <c r="MNQ45" s="291"/>
      <c r="MNR45" s="292"/>
      <c r="MNS45" s="292"/>
      <c r="MNT45" s="292"/>
      <c r="MNU45" s="291"/>
      <c r="MNV45" s="292"/>
      <c r="MNW45" s="292"/>
      <c r="MNX45" s="292"/>
      <c r="MNY45" s="291"/>
      <c r="MNZ45" s="292"/>
      <c r="MOA45" s="292"/>
      <c r="MOB45" s="292"/>
      <c r="MOC45" s="291"/>
      <c r="MOD45" s="292"/>
      <c r="MOE45" s="292"/>
      <c r="MOF45" s="292"/>
      <c r="MOG45" s="291"/>
      <c r="MOH45" s="292"/>
      <c r="MOI45" s="292"/>
      <c r="MOJ45" s="292"/>
      <c r="MOK45" s="291"/>
      <c r="MOL45" s="292"/>
      <c r="MOM45" s="292"/>
      <c r="MON45" s="292"/>
      <c r="MOO45" s="291"/>
      <c r="MOP45" s="292"/>
      <c r="MOQ45" s="292"/>
      <c r="MOR45" s="292"/>
      <c r="MOS45" s="291"/>
      <c r="MOT45" s="292"/>
      <c r="MOU45" s="292"/>
      <c r="MOV45" s="292"/>
      <c r="MOW45" s="291"/>
      <c r="MOX45" s="292"/>
      <c r="MOY45" s="292"/>
      <c r="MOZ45" s="292"/>
      <c r="MPA45" s="291"/>
      <c r="MPB45" s="292"/>
      <c r="MPC45" s="292"/>
      <c r="MPD45" s="292"/>
      <c r="MPE45" s="291"/>
      <c r="MPF45" s="292"/>
      <c r="MPG45" s="292"/>
      <c r="MPH45" s="292"/>
      <c r="MPI45" s="291"/>
      <c r="MPJ45" s="292"/>
      <c r="MPK45" s="292"/>
      <c r="MPL45" s="292"/>
      <c r="MPM45" s="291"/>
      <c r="MPN45" s="292"/>
      <c r="MPO45" s="292"/>
      <c r="MPP45" s="292"/>
      <c r="MPQ45" s="291"/>
      <c r="MPR45" s="292"/>
      <c r="MPS45" s="292"/>
      <c r="MPT45" s="292"/>
      <c r="MPU45" s="291"/>
      <c r="MPV45" s="292"/>
      <c r="MPW45" s="292"/>
      <c r="MPX45" s="292"/>
      <c r="MPY45" s="291"/>
      <c r="MPZ45" s="292"/>
      <c r="MQA45" s="292"/>
      <c r="MQB45" s="292"/>
      <c r="MQC45" s="291"/>
      <c r="MQD45" s="292"/>
      <c r="MQE45" s="292"/>
      <c r="MQF45" s="292"/>
      <c r="MQG45" s="291"/>
      <c r="MQH45" s="292"/>
      <c r="MQI45" s="292"/>
      <c r="MQJ45" s="292"/>
      <c r="MQK45" s="291"/>
      <c r="MQL45" s="292"/>
      <c r="MQM45" s="292"/>
      <c r="MQN45" s="292"/>
      <c r="MQO45" s="291"/>
      <c r="MQP45" s="292"/>
      <c r="MQQ45" s="292"/>
      <c r="MQR45" s="292"/>
      <c r="MQS45" s="291"/>
      <c r="MQT45" s="292"/>
      <c r="MQU45" s="292"/>
      <c r="MQV45" s="292"/>
      <c r="MQW45" s="291"/>
      <c r="MQX45" s="292"/>
      <c r="MQY45" s="292"/>
      <c r="MQZ45" s="292"/>
      <c r="MRA45" s="291"/>
      <c r="MRB45" s="292"/>
      <c r="MRC45" s="292"/>
      <c r="MRD45" s="292"/>
      <c r="MRE45" s="291"/>
      <c r="MRF45" s="292"/>
      <c r="MRG45" s="292"/>
      <c r="MRH45" s="292"/>
      <c r="MRI45" s="291"/>
      <c r="MRJ45" s="292"/>
      <c r="MRK45" s="292"/>
      <c r="MRL45" s="292"/>
      <c r="MRM45" s="291"/>
      <c r="MRN45" s="292"/>
      <c r="MRO45" s="292"/>
      <c r="MRP45" s="292"/>
      <c r="MRQ45" s="291"/>
      <c r="MRR45" s="292"/>
      <c r="MRS45" s="292"/>
      <c r="MRT45" s="292"/>
      <c r="MRU45" s="291"/>
      <c r="MRV45" s="292"/>
      <c r="MRW45" s="292"/>
      <c r="MRX45" s="292"/>
      <c r="MRY45" s="291"/>
      <c r="MRZ45" s="292"/>
      <c r="MSA45" s="292"/>
      <c r="MSB45" s="292"/>
      <c r="MSC45" s="291"/>
      <c r="MSD45" s="292"/>
      <c r="MSE45" s="292"/>
      <c r="MSF45" s="292"/>
      <c r="MSG45" s="291"/>
      <c r="MSH45" s="292"/>
      <c r="MSI45" s="292"/>
      <c r="MSJ45" s="292"/>
      <c r="MSK45" s="291"/>
      <c r="MSL45" s="292"/>
      <c r="MSM45" s="292"/>
      <c r="MSN45" s="292"/>
      <c r="MSO45" s="291"/>
      <c r="MSP45" s="292"/>
      <c r="MSQ45" s="292"/>
      <c r="MSR45" s="292"/>
      <c r="MSS45" s="291"/>
      <c r="MST45" s="292"/>
      <c r="MSU45" s="292"/>
      <c r="MSV45" s="292"/>
      <c r="MSW45" s="291"/>
      <c r="MSX45" s="292"/>
      <c r="MSY45" s="292"/>
      <c r="MSZ45" s="292"/>
      <c r="MTA45" s="291"/>
      <c r="MTB45" s="292"/>
      <c r="MTC45" s="292"/>
      <c r="MTD45" s="292"/>
      <c r="MTE45" s="291"/>
      <c r="MTF45" s="292"/>
      <c r="MTG45" s="292"/>
      <c r="MTH45" s="292"/>
      <c r="MTI45" s="291"/>
      <c r="MTJ45" s="292"/>
      <c r="MTK45" s="292"/>
      <c r="MTL45" s="292"/>
      <c r="MTM45" s="291"/>
      <c r="MTN45" s="292"/>
      <c r="MTO45" s="292"/>
      <c r="MTP45" s="292"/>
      <c r="MTQ45" s="291"/>
      <c r="MTR45" s="292"/>
      <c r="MTS45" s="292"/>
      <c r="MTT45" s="292"/>
      <c r="MTU45" s="291"/>
      <c r="MTV45" s="292"/>
      <c r="MTW45" s="292"/>
      <c r="MTX45" s="292"/>
      <c r="MTY45" s="291"/>
      <c r="MTZ45" s="292"/>
      <c r="MUA45" s="292"/>
      <c r="MUB45" s="292"/>
      <c r="MUC45" s="291"/>
      <c r="MUD45" s="292"/>
      <c r="MUE45" s="292"/>
      <c r="MUF45" s="292"/>
      <c r="MUG45" s="291"/>
      <c r="MUH45" s="292"/>
      <c r="MUI45" s="292"/>
      <c r="MUJ45" s="292"/>
      <c r="MUK45" s="291"/>
      <c r="MUL45" s="292"/>
      <c r="MUM45" s="292"/>
      <c r="MUN45" s="292"/>
      <c r="MUO45" s="291"/>
      <c r="MUP45" s="292"/>
      <c r="MUQ45" s="292"/>
      <c r="MUR45" s="292"/>
      <c r="MUS45" s="291"/>
      <c r="MUT45" s="292"/>
      <c r="MUU45" s="292"/>
      <c r="MUV45" s="292"/>
      <c r="MUW45" s="291"/>
      <c r="MUX45" s="292"/>
      <c r="MUY45" s="292"/>
      <c r="MUZ45" s="292"/>
      <c r="MVA45" s="291"/>
      <c r="MVB45" s="292"/>
      <c r="MVC45" s="292"/>
      <c r="MVD45" s="292"/>
      <c r="MVE45" s="291"/>
      <c r="MVF45" s="292"/>
      <c r="MVG45" s="292"/>
      <c r="MVH45" s="292"/>
      <c r="MVI45" s="291"/>
      <c r="MVJ45" s="292"/>
      <c r="MVK45" s="292"/>
      <c r="MVL45" s="292"/>
      <c r="MVM45" s="291"/>
      <c r="MVN45" s="292"/>
      <c r="MVO45" s="292"/>
      <c r="MVP45" s="292"/>
      <c r="MVQ45" s="291"/>
      <c r="MVR45" s="292"/>
      <c r="MVS45" s="292"/>
      <c r="MVT45" s="292"/>
      <c r="MVU45" s="291"/>
      <c r="MVV45" s="292"/>
      <c r="MVW45" s="292"/>
      <c r="MVX45" s="292"/>
      <c r="MVY45" s="291"/>
      <c r="MVZ45" s="292"/>
      <c r="MWA45" s="292"/>
      <c r="MWB45" s="292"/>
      <c r="MWC45" s="291"/>
      <c r="MWD45" s="292"/>
      <c r="MWE45" s="292"/>
      <c r="MWF45" s="292"/>
      <c r="MWG45" s="291"/>
      <c r="MWH45" s="292"/>
      <c r="MWI45" s="292"/>
      <c r="MWJ45" s="292"/>
      <c r="MWK45" s="291"/>
      <c r="MWL45" s="292"/>
      <c r="MWM45" s="292"/>
      <c r="MWN45" s="292"/>
      <c r="MWO45" s="291"/>
      <c r="MWP45" s="292"/>
      <c r="MWQ45" s="292"/>
      <c r="MWR45" s="292"/>
      <c r="MWS45" s="291"/>
      <c r="MWT45" s="292"/>
      <c r="MWU45" s="292"/>
      <c r="MWV45" s="292"/>
      <c r="MWW45" s="291"/>
      <c r="MWX45" s="292"/>
      <c r="MWY45" s="292"/>
      <c r="MWZ45" s="292"/>
      <c r="MXA45" s="291"/>
      <c r="MXB45" s="292"/>
      <c r="MXC45" s="292"/>
      <c r="MXD45" s="292"/>
      <c r="MXE45" s="291"/>
      <c r="MXF45" s="292"/>
      <c r="MXG45" s="292"/>
      <c r="MXH45" s="292"/>
      <c r="MXI45" s="291"/>
      <c r="MXJ45" s="292"/>
      <c r="MXK45" s="292"/>
      <c r="MXL45" s="292"/>
      <c r="MXM45" s="291"/>
      <c r="MXN45" s="292"/>
      <c r="MXO45" s="292"/>
      <c r="MXP45" s="292"/>
      <c r="MXQ45" s="291"/>
      <c r="MXR45" s="292"/>
      <c r="MXS45" s="292"/>
      <c r="MXT45" s="292"/>
      <c r="MXU45" s="291"/>
      <c r="MXV45" s="292"/>
      <c r="MXW45" s="292"/>
      <c r="MXX45" s="292"/>
      <c r="MXY45" s="291"/>
      <c r="MXZ45" s="292"/>
      <c r="MYA45" s="292"/>
      <c r="MYB45" s="292"/>
      <c r="MYC45" s="291"/>
      <c r="MYD45" s="292"/>
      <c r="MYE45" s="292"/>
      <c r="MYF45" s="292"/>
      <c r="MYG45" s="291"/>
      <c r="MYH45" s="292"/>
      <c r="MYI45" s="292"/>
      <c r="MYJ45" s="292"/>
      <c r="MYK45" s="291"/>
      <c r="MYL45" s="292"/>
      <c r="MYM45" s="292"/>
      <c r="MYN45" s="292"/>
      <c r="MYO45" s="291"/>
      <c r="MYP45" s="292"/>
      <c r="MYQ45" s="292"/>
      <c r="MYR45" s="292"/>
      <c r="MYS45" s="291"/>
      <c r="MYT45" s="292"/>
      <c r="MYU45" s="292"/>
      <c r="MYV45" s="292"/>
      <c r="MYW45" s="291"/>
      <c r="MYX45" s="292"/>
      <c r="MYY45" s="292"/>
      <c r="MYZ45" s="292"/>
      <c r="MZA45" s="291"/>
      <c r="MZB45" s="292"/>
      <c r="MZC45" s="292"/>
      <c r="MZD45" s="292"/>
      <c r="MZE45" s="291"/>
      <c r="MZF45" s="292"/>
      <c r="MZG45" s="292"/>
      <c r="MZH45" s="292"/>
      <c r="MZI45" s="291"/>
      <c r="MZJ45" s="292"/>
      <c r="MZK45" s="292"/>
      <c r="MZL45" s="292"/>
      <c r="MZM45" s="291"/>
      <c r="MZN45" s="292"/>
      <c r="MZO45" s="292"/>
      <c r="MZP45" s="292"/>
      <c r="MZQ45" s="291"/>
      <c r="MZR45" s="292"/>
      <c r="MZS45" s="292"/>
      <c r="MZT45" s="292"/>
      <c r="MZU45" s="291"/>
      <c r="MZV45" s="292"/>
      <c r="MZW45" s="292"/>
      <c r="MZX45" s="292"/>
      <c r="MZY45" s="291"/>
      <c r="MZZ45" s="292"/>
      <c r="NAA45" s="292"/>
      <c r="NAB45" s="292"/>
      <c r="NAC45" s="291"/>
      <c r="NAD45" s="292"/>
      <c r="NAE45" s="292"/>
      <c r="NAF45" s="292"/>
      <c r="NAG45" s="291"/>
      <c r="NAH45" s="292"/>
      <c r="NAI45" s="292"/>
      <c r="NAJ45" s="292"/>
      <c r="NAK45" s="291"/>
      <c r="NAL45" s="292"/>
      <c r="NAM45" s="292"/>
      <c r="NAN45" s="292"/>
      <c r="NAO45" s="291"/>
      <c r="NAP45" s="292"/>
      <c r="NAQ45" s="292"/>
      <c r="NAR45" s="292"/>
      <c r="NAS45" s="291"/>
      <c r="NAT45" s="292"/>
      <c r="NAU45" s="292"/>
      <c r="NAV45" s="292"/>
      <c r="NAW45" s="291"/>
      <c r="NAX45" s="292"/>
      <c r="NAY45" s="292"/>
      <c r="NAZ45" s="292"/>
      <c r="NBA45" s="291"/>
      <c r="NBB45" s="292"/>
      <c r="NBC45" s="292"/>
      <c r="NBD45" s="292"/>
      <c r="NBE45" s="291"/>
      <c r="NBF45" s="292"/>
      <c r="NBG45" s="292"/>
      <c r="NBH45" s="292"/>
      <c r="NBI45" s="291"/>
      <c r="NBJ45" s="292"/>
      <c r="NBK45" s="292"/>
      <c r="NBL45" s="292"/>
      <c r="NBM45" s="291"/>
      <c r="NBN45" s="292"/>
      <c r="NBO45" s="292"/>
      <c r="NBP45" s="292"/>
      <c r="NBQ45" s="291"/>
      <c r="NBR45" s="292"/>
      <c r="NBS45" s="292"/>
      <c r="NBT45" s="292"/>
      <c r="NBU45" s="291"/>
      <c r="NBV45" s="292"/>
      <c r="NBW45" s="292"/>
      <c r="NBX45" s="292"/>
      <c r="NBY45" s="291"/>
      <c r="NBZ45" s="292"/>
      <c r="NCA45" s="292"/>
      <c r="NCB45" s="292"/>
      <c r="NCC45" s="291"/>
      <c r="NCD45" s="292"/>
      <c r="NCE45" s="292"/>
      <c r="NCF45" s="292"/>
      <c r="NCG45" s="291"/>
      <c r="NCH45" s="292"/>
      <c r="NCI45" s="292"/>
      <c r="NCJ45" s="292"/>
      <c r="NCK45" s="291"/>
      <c r="NCL45" s="292"/>
      <c r="NCM45" s="292"/>
      <c r="NCN45" s="292"/>
      <c r="NCO45" s="291"/>
      <c r="NCP45" s="292"/>
      <c r="NCQ45" s="292"/>
      <c r="NCR45" s="292"/>
      <c r="NCS45" s="291"/>
      <c r="NCT45" s="292"/>
      <c r="NCU45" s="292"/>
      <c r="NCV45" s="292"/>
      <c r="NCW45" s="291"/>
      <c r="NCX45" s="292"/>
      <c r="NCY45" s="292"/>
      <c r="NCZ45" s="292"/>
      <c r="NDA45" s="291"/>
      <c r="NDB45" s="292"/>
      <c r="NDC45" s="292"/>
      <c r="NDD45" s="292"/>
      <c r="NDE45" s="291"/>
      <c r="NDF45" s="292"/>
      <c r="NDG45" s="292"/>
      <c r="NDH45" s="292"/>
      <c r="NDI45" s="291"/>
      <c r="NDJ45" s="292"/>
      <c r="NDK45" s="292"/>
      <c r="NDL45" s="292"/>
      <c r="NDM45" s="291"/>
      <c r="NDN45" s="292"/>
      <c r="NDO45" s="292"/>
      <c r="NDP45" s="292"/>
      <c r="NDQ45" s="291"/>
      <c r="NDR45" s="292"/>
      <c r="NDS45" s="292"/>
      <c r="NDT45" s="292"/>
      <c r="NDU45" s="291"/>
      <c r="NDV45" s="292"/>
      <c r="NDW45" s="292"/>
      <c r="NDX45" s="292"/>
      <c r="NDY45" s="291"/>
      <c r="NDZ45" s="292"/>
      <c r="NEA45" s="292"/>
      <c r="NEB45" s="292"/>
      <c r="NEC45" s="291"/>
      <c r="NED45" s="292"/>
      <c r="NEE45" s="292"/>
      <c r="NEF45" s="292"/>
      <c r="NEG45" s="291"/>
      <c r="NEH45" s="292"/>
      <c r="NEI45" s="292"/>
      <c r="NEJ45" s="292"/>
      <c r="NEK45" s="291"/>
      <c r="NEL45" s="292"/>
      <c r="NEM45" s="292"/>
      <c r="NEN45" s="292"/>
      <c r="NEO45" s="291"/>
      <c r="NEP45" s="292"/>
      <c r="NEQ45" s="292"/>
      <c r="NER45" s="292"/>
      <c r="NES45" s="291"/>
      <c r="NET45" s="292"/>
      <c r="NEU45" s="292"/>
      <c r="NEV45" s="292"/>
      <c r="NEW45" s="291"/>
      <c r="NEX45" s="292"/>
      <c r="NEY45" s="292"/>
      <c r="NEZ45" s="292"/>
      <c r="NFA45" s="291"/>
      <c r="NFB45" s="292"/>
      <c r="NFC45" s="292"/>
      <c r="NFD45" s="292"/>
      <c r="NFE45" s="291"/>
      <c r="NFF45" s="292"/>
      <c r="NFG45" s="292"/>
      <c r="NFH45" s="292"/>
      <c r="NFI45" s="291"/>
      <c r="NFJ45" s="292"/>
      <c r="NFK45" s="292"/>
      <c r="NFL45" s="292"/>
      <c r="NFM45" s="291"/>
      <c r="NFN45" s="292"/>
      <c r="NFO45" s="292"/>
      <c r="NFP45" s="292"/>
      <c r="NFQ45" s="291"/>
      <c r="NFR45" s="292"/>
      <c r="NFS45" s="292"/>
      <c r="NFT45" s="292"/>
      <c r="NFU45" s="291"/>
      <c r="NFV45" s="292"/>
      <c r="NFW45" s="292"/>
      <c r="NFX45" s="292"/>
      <c r="NFY45" s="291"/>
      <c r="NFZ45" s="292"/>
      <c r="NGA45" s="292"/>
      <c r="NGB45" s="292"/>
      <c r="NGC45" s="291"/>
      <c r="NGD45" s="292"/>
      <c r="NGE45" s="292"/>
      <c r="NGF45" s="292"/>
      <c r="NGG45" s="291"/>
      <c r="NGH45" s="292"/>
      <c r="NGI45" s="292"/>
      <c r="NGJ45" s="292"/>
      <c r="NGK45" s="291"/>
      <c r="NGL45" s="292"/>
      <c r="NGM45" s="292"/>
      <c r="NGN45" s="292"/>
      <c r="NGO45" s="291"/>
      <c r="NGP45" s="292"/>
      <c r="NGQ45" s="292"/>
      <c r="NGR45" s="292"/>
      <c r="NGS45" s="291"/>
      <c r="NGT45" s="292"/>
      <c r="NGU45" s="292"/>
      <c r="NGV45" s="292"/>
      <c r="NGW45" s="291"/>
      <c r="NGX45" s="292"/>
      <c r="NGY45" s="292"/>
      <c r="NGZ45" s="292"/>
      <c r="NHA45" s="291"/>
      <c r="NHB45" s="292"/>
      <c r="NHC45" s="292"/>
      <c r="NHD45" s="292"/>
      <c r="NHE45" s="291"/>
      <c r="NHF45" s="292"/>
      <c r="NHG45" s="292"/>
      <c r="NHH45" s="292"/>
      <c r="NHI45" s="291"/>
      <c r="NHJ45" s="292"/>
      <c r="NHK45" s="292"/>
      <c r="NHL45" s="292"/>
      <c r="NHM45" s="291"/>
      <c r="NHN45" s="292"/>
      <c r="NHO45" s="292"/>
      <c r="NHP45" s="292"/>
      <c r="NHQ45" s="291"/>
      <c r="NHR45" s="292"/>
      <c r="NHS45" s="292"/>
      <c r="NHT45" s="292"/>
      <c r="NHU45" s="291"/>
      <c r="NHV45" s="292"/>
      <c r="NHW45" s="292"/>
      <c r="NHX45" s="292"/>
      <c r="NHY45" s="291"/>
      <c r="NHZ45" s="292"/>
      <c r="NIA45" s="292"/>
      <c r="NIB45" s="292"/>
      <c r="NIC45" s="291"/>
      <c r="NID45" s="292"/>
      <c r="NIE45" s="292"/>
      <c r="NIF45" s="292"/>
      <c r="NIG45" s="291"/>
      <c r="NIH45" s="292"/>
      <c r="NII45" s="292"/>
      <c r="NIJ45" s="292"/>
      <c r="NIK45" s="291"/>
      <c r="NIL45" s="292"/>
      <c r="NIM45" s="292"/>
      <c r="NIN45" s="292"/>
      <c r="NIO45" s="291"/>
      <c r="NIP45" s="292"/>
      <c r="NIQ45" s="292"/>
      <c r="NIR45" s="292"/>
      <c r="NIS45" s="291"/>
      <c r="NIT45" s="292"/>
      <c r="NIU45" s="292"/>
      <c r="NIV45" s="292"/>
      <c r="NIW45" s="291"/>
      <c r="NIX45" s="292"/>
      <c r="NIY45" s="292"/>
      <c r="NIZ45" s="292"/>
      <c r="NJA45" s="291"/>
      <c r="NJB45" s="292"/>
      <c r="NJC45" s="292"/>
      <c r="NJD45" s="292"/>
      <c r="NJE45" s="291"/>
      <c r="NJF45" s="292"/>
      <c r="NJG45" s="292"/>
      <c r="NJH45" s="292"/>
      <c r="NJI45" s="291"/>
      <c r="NJJ45" s="292"/>
      <c r="NJK45" s="292"/>
      <c r="NJL45" s="292"/>
      <c r="NJM45" s="291"/>
      <c r="NJN45" s="292"/>
      <c r="NJO45" s="292"/>
      <c r="NJP45" s="292"/>
      <c r="NJQ45" s="291"/>
      <c r="NJR45" s="292"/>
      <c r="NJS45" s="292"/>
      <c r="NJT45" s="292"/>
      <c r="NJU45" s="291"/>
      <c r="NJV45" s="292"/>
      <c r="NJW45" s="292"/>
      <c r="NJX45" s="292"/>
      <c r="NJY45" s="291"/>
      <c r="NJZ45" s="292"/>
      <c r="NKA45" s="292"/>
      <c r="NKB45" s="292"/>
      <c r="NKC45" s="291"/>
      <c r="NKD45" s="292"/>
      <c r="NKE45" s="292"/>
      <c r="NKF45" s="292"/>
      <c r="NKG45" s="291"/>
      <c r="NKH45" s="292"/>
      <c r="NKI45" s="292"/>
      <c r="NKJ45" s="292"/>
      <c r="NKK45" s="291"/>
      <c r="NKL45" s="292"/>
      <c r="NKM45" s="292"/>
      <c r="NKN45" s="292"/>
      <c r="NKO45" s="291"/>
      <c r="NKP45" s="292"/>
      <c r="NKQ45" s="292"/>
      <c r="NKR45" s="292"/>
      <c r="NKS45" s="291"/>
      <c r="NKT45" s="292"/>
      <c r="NKU45" s="292"/>
      <c r="NKV45" s="292"/>
      <c r="NKW45" s="291"/>
      <c r="NKX45" s="292"/>
      <c r="NKY45" s="292"/>
      <c r="NKZ45" s="292"/>
      <c r="NLA45" s="291"/>
      <c r="NLB45" s="292"/>
      <c r="NLC45" s="292"/>
      <c r="NLD45" s="292"/>
      <c r="NLE45" s="291"/>
      <c r="NLF45" s="292"/>
      <c r="NLG45" s="292"/>
      <c r="NLH45" s="292"/>
      <c r="NLI45" s="291"/>
      <c r="NLJ45" s="292"/>
      <c r="NLK45" s="292"/>
      <c r="NLL45" s="292"/>
      <c r="NLM45" s="291"/>
      <c r="NLN45" s="292"/>
      <c r="NLO45" s="292"/>
      <c r="NLP45" s="292"/>
      <c r="NLQ45" s="291"/>
      <c r="NLR45" s="292"/>
      <c r="NLS45" s="292"/>
      <c r="NLT45" s="292"/>
      <c r="NLU45" s="291"/>
      <c r="NLV45" s="292"/>
      <c r="NLW45" s="292"/>
      <c r="NLX45" s="292"/>
      <c r="NLY45" s="291"/>
      <c r="NLZ45" s="292"/>
      <c r="NMA45" s="292"/>
      <c r="NMB45" s="292"/>
      <c r="NMC45" s="291"/>
      <c r="NMD45" s="292"/>
      <c r="NME45" s="292"/>
      <c r="NMF45" s="292"/>
      <c r="NMG45" s="291"/>
      <c r="NMH45" s="292"/>
      <c r="NMI45" s="292"/>
      <c r="NMJ45" s="292"/>
      <c r="NMK45" s="291"/>
      <c r="NML45" s="292"/>
      <c r="NMM45" s="292"/>
      <c r="NMN45" s="292"/>
      <c r="NMO45" s="291"/>
      <c r="NMP45" s="292"/>
      <c r="NMQ45" s="292"/>
      <c r="NMR45" s="292"/>
      <c r="NMS45" s="291"/>
      <c r="NMT45" s="292"/>
      <c r="NMU45" s="292"/>
      <c r="NMV45" s="292"/>
      <c r="NMW45" s="291"/>
      <c r="NMX45" s="292"/>
      <c r="NMY45" s="292"/>
      <c r="NMZ45" s="292"/>
      <c r="NNA45" s="291"/>
      <c r="NNB45" s="292"/>
      <c r="NNC45" s="292"/>
      <c r="NND45" s="292"/>
      <c r="NNE45" s="291"/>
      <c r="NNF45" s="292"/>
      <c r="NNG45" s="292"/>
      <c r="NNH45" s="292"/>
      <c r="NNI45" s="291"/>
      <c r="NNJ45" s="292"/>
      <c r="NNK45" s="292"/>
      <c r="NNL45" s="292"/>
      <c r="NNM45" s="291"/>
      <c r="NNN45" s="292"/>
      <c r="NNO45" s="292"/>
      <c r="NNP45" s="292"/>
      <c r="NNQ45" s="291"/>
      <c r="NNR45" s="292"/>
      <c r="NNS45" s="292"/>
      <c r="NNT45" s="292"/>
      <c r="NNU45" s="291"/>
      <c r="NNV45" s="292"/>
      <c r="NNW45" s="292"/>
      <c r="NNX45" s="292"/>
      <c r="NNY45" s="291"/>
      <c r="NNZ45" s="292"/>
      <c r="NOA45" s="292"/>
      <c r="NOB45" s="292"/>
      <c r="NOC45" s="291"/>
      <c r="NOD45" s="292"/>
      <c r="NOE45" s="292"/>
      <c r="NOF45" s="292"/>
      <c r="NOG45" s="291"/>
      <c r="NOH45" s="292"/>
      <c r="NOI45" s="292"/>
      <c r="NOJ45" s="292"/>
      <c r="NOK45" s="291"/>
      <c r="NOL45" s="292"/>
      <c r="NOM45" s="292"/>
      <c r="NON45" s="292"/>
      <c r="NOO45" s="291"/>
      <c r="NOP45" s="292"/>
      <c r="NOQ45" s="292"/>
      <c r="NOR45" s="292"/>
      <c r="NOS45" s="291"/>
      <c r="NOT45" s="292"/>
      <c r="NOU45" s="292"/>
      <c r="NOV45" s="292"/>
      <c r="NOW45" s="291"/>
      <c r="NOX45" s="292"/>
      <c r="NOY45" s="292"/>
      <c r="NOZ45" s="292"/>
      <c r="NPA45" s="291"/>
      <c r="NPB45" s="292"/>
      <c r="NPC45" s="292"/>
      <c r="NPD45" s="292"/>
      <c r="NPE45" s="291"/>
      <c r="NPF45" s="292"/>
      <c r="NPG45" s="292"/>
      <c r="NPH45" s="292"/>
      <c r="NPI45" s="291"/>
      <c r="NPJ45" s="292"/>
      <c r="NPK45" s="292"/>
      <c r="NPL45" s="292"/>
      <c r="NPM45" s="291"/>
      <c r="NPN45" s="292"/>
      <c r="NPO45" s="292"/>
      <c r="NPP45" s="292"/>
      <c r="NPQ45" s="291"/>
      <c r="NPR45" s="292"/>
      <c r="NPS45" s="292"/>
      <c r="NPT45" s="292"/>
      <c r="NPU45" s="291"/>
      <c r="NPV45" s="292"/>
      <c r="NPW45" s="292"/>
      <c r="NPX45" s="292"/>
      <c r="NPY45" s="291"/>
      <c r="NPZ45" s="292"/>
      <c r="NQA45" s="292"/>
      <c r="NQB45" s="292"/>
      <c r="NQC45" s="291"/>
      <c r="NQD45" s="292"/>
      <c r="NQE45" s="292"/>
      <c r="NQF45" s="292"/>
      <c r="NQG45" s="291"/>
      <c r="NQH45" s="292"/>
      <c r="NQI45" s="292"/>
      <c r="NQJ45" s="292"/>
      <c r="NQK45" s="291"/>
      <c r="NQL45" s="292"/>
      <c r="NQM45" s="292"/>
      <c r="NQN45" s="292"/>
      <c r="NQO45" s="291"/>
      <c r="NQP45" s="292"/>
      <c r="NQQ45" s="292"/>
      <c r="NQR45" s="292"/>
      <c r="NQS45" s="291"/>
      <c r="NQT45" s="292"/>
      <c r="NQU45" s="292"/>
      <c r="NQV45" s="292"/>
      <c r="NQW45" s="291"/>
      <c r="NQX45" s="292"/>
      <c r="NQY45" s="292"/>
      <c r="NQZ45" s="292"/>
      <c r="NRA45" s="291"/>
      <c r="NRB45" s="292"/>
      <c r="NRC45" s="292"/>
      <c r="NRD45" s="292"/>
      <c r="NRE45" s="291"/>
      <c r="NRF45" s="292"/>
      <c r="NRG45" s="292"/>
      <c r="NRH45" s="292"/>
      <c r="NRI45" s="291"/>
      <c r="NRJ45" s="292"/>
      <c r="NRK45" s="292"/>
      <c r="NRL45" s="292"/>
      <c r="NRM45" s="291"/>
      <c r="NRN45" s="292"/>
      <c r="NRO45" s="292"/>
      <c r="NRP45" s="292"/>
      <c r="NRQ45" s="291"/>
      <c r="NRR45" s="292"/>
      <c r="NRS45" s="292"/>
      <c r="NRT45" s="292"/>
      <c r="NRU45" s="291"/>
      <c r="NRV45" s="292"/>
      <c r="NRW45" s="292"/>
      <c r="NRX45" s="292"/>
      <c r="NRY45" s="291"/>
      <c r="NRZ45" s="292"/>
      <c r="NSA45" s="292"/>
      <c r="NSB45" s="292"/>
      <c r="NSC45" s="291"/>
      <c r="NSD45" s="292"/>
      <c r="NSE45" s="292"/>
      <c r="NSF45" s="292"/>
      <c r="NSG45" s="291"/>
      <c r="NSH45" s="292"/>
      <c r="NSI45" s="292"/>
      <c r="NSJ45" s="292"/>
      <c r="NSK45" s="291"/>
      <c r="NSL45" s="292"/>
      <c r="NSM45" s="292"/>
      <c r="NSN45" s="292"/>
      <c r="NSO45" s="291"/>
      <c r="NSP45" s="292"/>
      <c r="NSQ45" s="292"/>
      <c r="NSR45" s="292"/>
      <c r="NSS45" s="291"/>
      <c r="NST45" s="292"/>
      <c r="NSU45" s="292"/>
      <c r="NSV45" s="292"/>
      <c r="NSW45" s="291"/>
      <c r="NSX45" s="292"/>
      <c r="NSY45" s="292"/>
      <c r="NSZ45" s="292"/>
      <c r="NTA45" s="291"/>
      <c r="NTB45" s="292"/>
      <c r="NTC45" s="292"/>
      <c r="NTD45" s="292"/>
      <c r="NTE45" s="291"/>
      <c r="NTF45" s="292"/>
      <c r="NTG45" s="292"/>
      <c r="NTH45" s="292"/>
      <c r="NTI45" s="291"/>
      <c r="NTJ45" s="292"/>
      <c r="NTK45" s="292"/>
      <c r="NTL45" s="292"/>
      <c r="NTM45" s="291"/>
      <c r="NTN45" s="292"/>
      <c r="NTO45" s="292"/>
      <c r="NTP45" s="292"/>
      <c r="NTQ45" s="291"/>
      <c r="NTR45" s="292"/>
      <c r="NTS45" s="292"/>
      <c r="NTT45" s="292"/>
      <c r="NTU45" s="291"/>
      <c r="NTV45" s="292"/>
      <c r="NTW45" s="292"/>
      <c r="NTX45" s="292"/>
      <c r="NTY45" s="291"/>
      <c r="NTZ45" s="292"/>
      <c r="NUA45" s="292"/>
      <c r="NUB45" s="292"/>
      <c r="NUC45" s="291"/>
      <c r="NUD45" s="292"/>
      <c r="NUE45" s="292"/>
      <c r="NUF45" s="292"/>
      <c r="NUG45" s="291"/>
      <c r="NUH45" s="292"/>
      <c r="NUI45" s="292"/>
      <c r="NUJ45" s="292"/>
      <c r="NUK45" s="291"/>
      <c r="NUL45" s="292"/>
      <c r="NUM45" s="292"/>
      <c r="NUN45" s="292"/>
      <c r="NUO45" s="291"/>
      <c r="NUP45" s="292"/>
      <c r="NUQ45" s="292"/>
      <c r="NUR45" s="292"/>
      <c r="NUS45" s="291"/>
      <c r="NUT45" s="292"/>
      <c r="NUU45" s="292"/>
      <c r="NUV45" s="292"/>
      <c r="NUW45" s="291"/>
      <c r="NUX45" s="292"/>
      <c r="NUY45" s="292"/>
      <c r="NUZ45" s="292"/>
      <c r="NVA45" s="291"/>
      <c r="NVB45" s="292"/>
      <c r="NVC45" s="292"/>
      <c r="NVD45" s="292"/>
      <c r="NVE45" s="291"/>
      <c r="NVF45" s="292"/>
      <c r="NVG45" s="292"/>
      <c r="NVH45" s="292"/>
      <c r="NVI45" s="291"/>
      <c r="NVJ45" s="292"/>
      <c r="NVK45" s="292"/>
      <c r="NVL45" s="292"/>
      <c r="NVM45" s="291"/>
      <c r="NVN45" s="292"/>
      <c r="NVO45" s="292"/>
      <c r="NVP45" s="292"/>
      <c r="NVQ45" s="291"/>
      <c r="NVR45" s="292"/>
      <c r="NVS45" s="292"/>
      <c r="NVT45" s="292"/>
      <c r="NVU45" s="291"/>
      <c r="NVV45" s="292"/>
      <c r="NVW45" s="292"/>
      <c r="NVX45" s="292"/>
      <c r="NVY45" s="291"/>
      <c r="NVZ45" s="292"/>
      <c r="NWA45" s="292"/>
      <c r="NWB45" s="292"/>
      <c r="NWC45" s="291"/>
      <c r="NWD45" s="292"/>
      <c r="NWE45" s="292"/>
      <c r="NWF45" s="292"/>
      <c r="NWG45" s="291"/>
      <c r="NWH45" s="292"/>
      <c r="NWI45" s="292"/>
      <c r="NWJ45" s="292"/>
      <c r="NWK45" s="291"/>
      <c r="NWL45" s="292"/>
      <c r="NWM45" s="292"/>
      <c r="NWN45" s="292"/>
      <c r="NWO45" s="291"/>
      <c r="NWP45" s="292"/>
      <c r="NWQ45" s="292"/>
      <c r="NWR45" s="292"/>
      <c r="NWS45" s="291"/>
      <c r="NWT45" s="292"/>
      <c r="NWU45" s="292"/>
      <c r="NWV45" s="292"/>
      <c r="NWW45" s="291"/>
      <c r="NWX45" s="292"/>
      <c r="NWY45" s="292"/>
      <c r="NWZ45" s="292"/>
      <c r="NXA45" s="291"/>
      <c r="NXB45" s="292"/>
      <c r="NXC45" s="292"/>
      <c r="NXD45" s="292"/>
      <c r="NXE45" s="291"/>
      <c r="NXF45" s="292"/>
      <c r="NXG45" s="292"/>
      <c r="NXH45" s="292"/>
      <c r="NXI45" s="291"/>
      <c r="NXJ45" s="292"/>
      <c r="NXK45" s="292"/>
      <c r="NXL45" s="292"/>
      <c r="NXM45" s="291"/>
      <c r="NXN45" s="292"/>
      <c r="NXO45" s="292"/>
      <c r="NXP45" s="292"/>
      <c r="NXQ45" s="291"/>
      <c r="NXR45" s="292"/>
      <c r="NXS45" s="292"/>
      <c r="NXT45" s="292"/>
      <c r="NXU45" s="291"/>
      <c r="NXV45" s="292"/>
      <c r="NXW45" s="292"/>
      <c r="NXX45" s="292"/>
      <c r="NXY45" s="291"/>
      <c r="NXZ45" s="292"/>
      <c r="NYA45" s="292"/>
      <c r="NYB45" s="292"/>
      <c r="NYC45" s="291"/>
      <c r="NYD45" s="292"/>
      <c r="NYE45" s="292"/>
      <c r="NYF45" s="292"/>
      <c r="NYG45" s="291"/>
      <c r="NYH45" s="292"/>
      <c r="NYI45" s="292"/>
      <c r="NYJ45" s="292"/>
      <c r="NYK45" s="291"/>
      <c r="NYL45" s="292"/>
      <c r="NYM45" s="292"/>
      <c r="NYN45" s="292"/>
      <c r="NYO45" s="291"/>
      <c r="NYP45" s="292"/>
      <c r="NYQ45" s="292"/>
      <c r="NYR45" s="292"/>
      <c r="NYS45" s="291"/>
      <c r="NYT45" s="292"/>
      <c r="NYU45" s="292"/>
      <c r="NYV45" s="292"/>
      <c r="NYW45" s="291"/>
      <c r="NYX45" s="292"/>
      <c r="NYY45" s="292"/>
      <c r="NYZ45" s="292"/>
      <c r="NZA45" s="291"/>
      <c r="NZB45" s="292"/>
      <c r="NZC45" s="292"/>
      <c r="NZD45" s="292"/>
      <c r="NZE45" s="291"/>
      <c r="NZF45" s="292"/>
      <c r="NZG45" s="292"/>
      <c r="NZH45" s="292"/>
      <c r="NZI45" s="291"/>
      <c r="NZJ45" s="292"/>
      <c r="NZK45" s="292"/>
      <c r="NZL45" s="292"/>
      <c r="NZM45" s="291"/>
      <c r="NZN45" s="292"/>
      <c r="NZO45" s="292"/>
      <c r="NZP45" s="292"/>
      <c r="NZQ45" s="291"/>
      <c r="NZR45" s="292"/>
      <c r="NZS45" s="292"/>
      <c r="NZT45" s="292"/>
      <c r="NZU45" s="291"/>
      <c r="NZV45" s="292"/>
      <c r="NZW45" s="292"/>
      <c r="NZX45" s="292"/>
      <c r="NZY45" s="291"/>
      <c r="NZZ45" s="292"/>
      <c r="OAA45" s="292"/>
      <c r="OAB45" s="292"/>
      <c r="OAC45" s="291"/>
      <c r="OAD45" s="292"/>
      <c r="OAE45" s="292"/>
      <c r="OAF45" s="292"/>
      <c r="OAG45" s="291"/>
      <c r="OAH45" s="292"/>
      <c r="OAI45" s="292"/>
      <c r="OAJ45" s="292"/>
      <c r="OAK45" s="291"/>
      <c r="OAL45" s="292"/>
      <c r="OAM45" s="292"/>
      <c r="OAN45" s="292"/>
      <c r="OAO45" s="291"/>
      <c r="OAP45" s="292"/>
      <c r="OAQ45" s="292"/>
      <c r="OAR45" s="292"/>
      <c r="OAS45" s="291"/>
      <c r="OAT45" s="292"/>
      <c r="OAU45" s="292"/>
      <c r="OAV45" s="292"/>
      <c r="OAW45" s="291"/>
      <c r="OAX45" s="292"/>
      <c r="OAY45" s="292"/>
      <c r="OAZ45" s="292"/>
      <c r="OBA45" s="291"/>
      <c r="OBB45" s="292"/>
      <c r="OBC45" s="292"/>
      <c r="OBD45" s="292"/>
      <c r="OBE45" s="291"/>
      <c r="OBF45" s="292"/>
      <c r="OBG45" s="292"/>
      <c r="OBH45" s="292"/>
      <c r="OBI45" s="291"/>
      <c r="OBJ45" s="292"/>
      <c r="OBK45" s="292"/>
      <c r="OBL45" s="292"/>
      <c r="OBM45" s="291"/>
      <c r="OBN45" s="292"/>
      <c r="OBO45" s="292"/>
      <c r="OBP45" s="292"/>
      <c r="OBQ45" s="291"/>
      <c r="OBR45" s="292"/>
      <c r="OBS45" s="292"/>
      <c r="OBT45" s="292"/>
      <c r="OBU45" s="291"/>
      <c r="OBV45" s="292"/>
      <c r="OBW45" s="292"/>
      <c r="OBX45" s="292"/>
      <c r="OBY45" s="291"/>
      <c r="OBZ45" s="292"/>
      <c r="OCA45" s="292"/>
      <c r="OCB45" s="292"/>
      <c r="OCC45" s="291"/>
      <c r="OCD45" s="292"/>
      <c r="OCE45" s="292"/>
      <c r="OCF45" s="292"/>
      <c r="OCG45" s="291"/>
      <c r="OCH45" s="292"/>
      <c r="OCI45" s="292"/>
      <c r="OCJ45" s="292"/>
      <c r="OCK45" s="291"/>
      <c r="OCL45" s="292"/>
      <c r="OCM45" s="292"/>
      <c r="OCN45" s="292"/>
      <c r="OCO45" s="291"/>
      <c r="OCP45" s="292"/>
      <c r="OCQ45" s="292"/>
      <c r="OCR45" s="292"/>
      <c r="OCS45" s="291"/>
      <c r="OCT45" s="292"/>
      <c r="OCU45" s="292"/>
      <c r="OCV45" s="292"/>
      <c r="OCW45" s="291"/>
      <c r="OCX45" s="292"/>
      <c r="OCY45" s="292"/>
      <c r="OCZ45" s="292"/>
      <c r="ODA45" s="291"/>
      <c r="ODB45" s="292"/>
      <c r="ODC45" s="292"/>
      <c r="ODD45" s="292"/>
      <c r="ODE45" s="291"/>
      <c r="ODF45" s="292"/>
      <c r="ODG45" s="292"/>
      <c r="ODH45" s="292"/>
      <c r="ODI45" s="291"/>
      <c r="ODJ45" s="292"/>
      <c r="ODK45" s="292"/>
      <c r="ODL45" s="292"/>
      <c r="ODM45" s="291"/>
      <c r="ODN45" s="292"/>
      <c r="ODO45" s="292"/>
      <c r="ODP45" s="292"/>
      <c r="ODQ45" s="291"/>
      <c r="ODR45" s="292"/>
      <c r="ODS45" s="292"/>
      <c r="ODT45" s="292"/>
      <c r="ODU45" s="291"/>
      <c r="ODV45" s="292"/>
      <c r="ODW45" s="292"/>
      <c r="ODX45" s="292"/>
      <c r="ODY45" s="291"/>
      <c r="ODZ45" s="292"/>
      <c r="OEA45" s="292"/>
      <c r="OEB45" s="292"/>
      <c r="OEC45" s="291"/>
      <c r="OED45" s="292"/>
      <c r="OEE45" s="292"/>
      <c r="OEF45" s="292"/>
      <c r="OEG45" s="291"/>
      <c r="OEH45" s="292"/>
      <c r="OEI45" s="292"/>
      <c r="OEJ45" s="292"/>
      <c r="OEK45" s="291"/>
      <c r="OEL45" s="292"/>
      <c r="OEM45" s="292"/>
      <c r="OEN45" s="292"/>
      <c r="OEO45" s="291"/>
      <c r="OEP45" s="292"/>
      <c r="OEQ45" s="292"/>
      <c r="OER45" s="292"/>
      <c r="OES45" s="291"/>
      <c r="OET45" s="292"/>
      <c r="OEU45" s="292"/>
      <c r="OEV45" s="292"/>
      <c r="OEW45" s="291"/>
      <c r="OEX45" s="292"/>
      <c r="OEY45" s="292"/>
      <c r="OEZ45" s="292"/>
      <c r="OFA45" s="291"/>
      <c r="OFB45" s="292"/>
      <c r="OFC45" s="292"/>
      <c r="OFD45" s="292"/>
      <c r="OFE45" s="291"/>
      <c r="OFF45" s="292"/>
      <c r="OFG45" s="292"/>
      <c r="OFH45" s="292"/>
      <c r="OFI45" s="291"/>
      <c r="OFJ45" s="292"/>
      <c r="OFK45" s="292"/>
      <c r="OFL45" s="292"/>
      <c r="OFM45" s="291"/>
      <c r="OFN45" s="292"/>
      <c r="OFO45" s="292"/>
      <c r="OFP45" s="292"/>
      <c r="OFQ45" s="291"/>
      <c r="OFR45" s="292"/>
      <c r="OFS45" s="292"/>
      <c r="OFT45" s="292"/>
      <c r="OFU45" s="291"/>
      <c r="OFV45" s="292"/>
      <c r="OFW45" s="292"/>
      <c r="OFX45" s="292"/>
      <c r="OFY45" s="291"/>
      <c r="OFZ45" s="292"/>
      <c r="OGA45" s="292"/>
      <c r="OGB45" s="292"/>
      <c r="OGC45" s="291"/>
      <c r="OGD45" s="292"/>
      <c r="OGE45" s="292"/>
      <c r="OGF45" s="292"/>
      <c r="OGG45" s="291"/>
      <c r="OGH45" s="292"/>
      <c r="OGI45" s="292"/>
      <c r="OGJ45" s="292"/>
      <c r="OGK45" s="291"/>
      <c r="OGL45" s="292"/>
      <c r="OGM45" s="292"/>
      <c r="OGN45" s="292"/>
      <c r="OGO45" s="291"/>
      <c r="OGP45" s="292"/>
      <c r="OGQ45" s="292"/>
      <c r="OGR45" s="292"/>
      <c r="OGS45" s="291"/>
      <c r="OGT45" s="292"/>
      <c r="OGU45" s="292"/>
      <c r="OGV45" s="292"/>
      <c r="OGW45" s="291"/>
      <c r="OGX45" s="292"/>
      <c r="OGY45" s="292"/>
      <c r="OGZ45" s="292"/>
      <c r="OHA45" s="291"/>
      <c r="OHB45" s="292"/>
      <c r="OHC45" s="292"/>
      <c r="OHD45" s="292"/>
      <c r="OHE45" s="291"/>
      <c r="OHF45" s="292"/>
      <c r="OHG45" s="292"/>
      <c r="OHH45" s="292"/>
      <c r="OHI45" s="291"/>
      <c r="OHJ45" s="292"/>
      <c r="OHK45" s="292"/>
      <c r="OHL45" s="292"/>
      <c r="OHM45" s="291"/>
      <c r="OHN45" s="292"/>
      <c r="OHO45" s="292"/>
      <c r="OHP45" s="292"/>
      <c r="OHQ45" s="291"/>
      <c r="OHR45" s="292"/>
      <c r="OHS45" s="292"/>
      <c r="OHT45" s="292"/>
      <c r="OHU45" s="291"/>
      <c r="OHV45" s="292"/>
      <c r="OHW45" s="292"/>
      <c r="OHX45" s="292"/>
      <c r="OHY45" s="291"/>
      <c r="OHZ45" s="292"/>
      <c r="OIA45" s="292"/>
      <c r="OIB45" s="292"/>
      <c r="OIC45" s="291"/>
      <c r="OID45" s="292"/>
      <c r="OIE45" s="292"/>
      <c r="OIF45" s="292"/>
      <c r="OIG45" s="291"/>
      <c r="OIH45" s="292"/>
      <c r="OII45" s="292"/>
      <c r="OIJ45" s="292"/>
      <c r="OIK45" s="291"/>
      <c r="OIL45" s="292"/>
      <c r="OIM45" s="292"/>
      <c r="OIN45" s="292"/>
      <c r="OIO45" s="291"/>
      <c r="OIP45" s="292"/>
      <c r="OIQ45" s="292"/>
      <c r="OIR45" s="292"/>
      <c r="OIS45" s="291"/>
      <c r="OIT45" s="292"/>
      <c r="OIU45" s="292"/>
      <c r="OIV45" s="292"/>
      <c r="OIW45" s="291"/>
      <c r="OIX45" s="292"/>
      <c r="OIY45" s="292"/>
      <c r="OIZ45" s="292"/>
      <c r="OJA45" s="291"/>
      <c r="OJB45" s="292"/>
      <c r="OJC45" s="292"/>
      <c r="OJD45" s="292"/>
      <c r="OJE45" s="291"/>
      <c r="OJF45" s="292"/>
      <c r="OJG45" s="292"/>
      <c r="OJH45" s="292"/>
      <c r="OJI45" s="291"/>
      <c r="OJJ45" s="292"/>
      <c r="OJK45" s="292"/>
      <c r="OJL45" s="292"/>
      <c r="OJM45" s="291"/>
      <c r="OJN45" s="292"/>
      <c r="OJO45" s="292"/>
      <c r="OJP45" s="292"/>
      <c r="OJQ45" s="291"/>
      <c r="OJR45" s="292"/>
      <c r="OJS45" s="292"/>
      <c r="OJT45" s="292"/>
      <c r="OJU45" s="291"/>
      <c r="OJV45" s="292"/>
      <c r="OJW45" s="292"/>
      <c r="OJX45" s="292"/>
      <c r="OJY45" s="291"/>
      <c r="OJZ45" s="292"/>
      <c r="OKA45" s="292"/>
      <c r="OKB45" s="292"/>
      <c r="OKC45" s="291"/>
      <c r="OKD45" s="292"/>
      <c r="OKE45" s="292"/>
      <c r="OKF45" s="292"/>
      <c r="OKG45" s="291"/>
      <c r="OKH45" s="292"/>
      <c r="OKI45" s="292"/>
      <c r="OKJ45" s="292"/>
      <c r="OKK45" s="291"/>
      <c r="OKL45" s="292"/>
      <c r="OKM45" s="292"/>
      <c r="OKN45" s="292"/>
      <c r="OKO45" s="291"/>
      <c r="OKP45" s="292"/>
      <c r="OKQ45" s="292"/>
      <c r="OKR45" s="292"/>
      <c r="OKS45" s="291"/>
      <c r="OKT45" s="292"/>
      <c r="OKU45" s="292"/>
      <c r="OKV45" s="292"/>
      <c r="OKW45" s="291"/>
      <c r="OKX45" s="292"/>
      <c r="OKY45" s="292"/>
      <c r="OKZ45" s="292"/>
      <c r="OLA45" s="291"/>
      <c r="OLB45" s="292"/>
      <c r="OLC45" s="292"/>
      <c r="OLD45" s="292"/>
      <c r="OLE45" s="291"/>
      <c r="OLF45" s="292"/>
      <c r="OLG45" s="292"/>
      <c r="OLH45" s="292"/>
      <c r="OLI45" s="291"/>
      <c r="OLJ45" s="292"/>
      <c r="OLK45" s="292"/>
      <c r="OLL45" s="292"/>
      <c r="OLM45" s="291"/>
      <c r="OLN45" s="292"/>
      <c r="OLO45" s="292"/>
      <c r="OLP45" s="292"/>
      <c r="OLQ45" s="291"/>
      <c r="OLR45" s="292"/>
      <c r="OLS45" s="292"/>
      <c r="OLT45" s="292"/>
      <c r="OLU45" s="291"/>
      <c r="OLV45" s="292"/>
      <c r="OLW45" s="292"/>
      <c r="OLX45" s="292"/>
      <c r="OLY45" s="291"/>
      <c r="OLZ45" s="292"/>
      <c r="OMA45" s="292"/>
      <c r="OMB45" s="292"/>
      <c r="OMC45" s="291"/>
      <c r="OMD45" s="292"/>
      <c r="OME45" s="292"/>
      <c r="OMF45" s="292"/>
      <c r="OMG45" s="291"/>
      <c r="OMH45" s="292"/>
      <c r="OMI45" s="292"/>
      <c r="OMJ45" s="292"/>
      <c r="OMK45" s="291"/>
      <c r="OML45" s="292"/>
      <c r="OMM45" s="292"/>
      <c r="OMN45" s="292"/>
      <c r="OMO45" s="291"/>
      <c r="OMP45" s="292"/>
      <c r="OMQ45" s="292"/>
      <c r="OMR45" s="292"/>
      <c r="OMS45" s="291"/>
      <c r="OMT45" s="292"/>
      <c r="OMU45" s="292"/>
      <c r="OMV45" s="292"/>
      <c r="OMW45" s="291"/>
      <c r="OMX45" s="292"/>
      <c r="OMY45" s="292"/>
      <c r="OMZ45" s="292"/>
      <c r="ONA45" s="291"/>
      <c r="ONB45" s="292"/>
      <c r="ONC45" s="292"/>
      <c r="OND45" s="292"/>
      <c r="ONE45" s="291"/>
      <c r="ONF45" s="292"/>
      <c r="ONG45" s="292"/>
      <c r="ONH45" s="292"/>
      <c r="ONI45" s="291"/>
      <c r="ONJ45" s="292"/>
      <c r="ONK45" s="292"/>
      <c r="ONL45" s="292"/>
      <c r="ONM45" s="291"/>
      <c r="ONN45" s="292"/>
      <c r="ONO45" s="292"/>
      <c r="ONP45" s="292"/>
      <c r="ONQ45" s="291"/>
      <c r="ONR45" s="292"/>
      <c r="ONS45" s="292"/>
      <c r="ONT45" s="292"/>
      <c r="ONU45" s="291"/>
      <c r="ONV45" s="292"/>
      <c r="ONW45" s="292"/>
      <c r="ONX45" s="292"/>
      <c r="ONY45" s="291"/>
      <c r="ONZ45" s="292"/>
      <c r="OOA45" s="292"/>
      <c r="OOB45" s="292"/>
      <c r="OOC45" s="291"/>
      <c r="OOD45" s="292"/>
      <c r="OOE45" s="292"/>
      <c r="OOF45" s="292"/>
      <c r="OOG45" s="291"/>
      <c r="OOH45" s="292"/>
      <c r="OOI45" s="292"/>
      <c r="OOJ45" s="292"/>
      <c r="OOK45" s="291"/>
      <c r="OOL45" s="292"/>
      <c r="OOM45" s="292"/>
      <c r="OON45" s="292"/>
      <c r="OOO45" s="291"/>
      <c r="OOP45" s="292"/>
      <c r="OOQ45" s="292"/>
      <c r="OOR45" s="292"/>
      <c r="OOS45" s="291"/>
      <c r="OOT45" s="292"/>
      <c r="OOU45" s="292"/>
      <c r="OOV45" s="292"/>
      <c r="OOW45" s="291"/>
      <c r="OOX45" s="292"/>
      <c r="OOY45" s="292"/>
      <c r="OOZ45" s="292"/>
      <c r="OPA45" s="291"/>
      <c r="OPB45" s="292"/>
      <c r="OPC45" s="292"/>
      <c r="OPD45" s="292"/>
      <c r="OPE45" s="291"/>
      <c r="OPF45" s="292"/>
      <c r="OPG45" s="292"/>
      <c r="OPH45" s="292"/>
      <c r="OPI45" s="291"/>
      <c r="OPJ45" s="292"/>
      <c r="OPK45" s="292"/>
      <c r="OPL45" s="292"/>
      <c r="OPM45" s="291"/>
      <c r="OPN45" s="292"/>
      <c r="OPO45" s="292"/>
      <c r="OPP45" s="292"/>
      <c r="OPQ45" s="291"/>
      <c r="OPR45" s="292"/>
      <c r="OPS45" s="292"/>
      <c r="OPT45" s="292"/>
      <c r="OPU45" s="291"/>
      <c r="OPV45" s="292"/>
      <c r="OPW45" s="292"/>
      <c r="OPX45" s="292"/>
      <c r="OPY45" s="291"/>
      <c r="OPZ45" s="292"/>
      <c r="OQA45" s="292"/>
      <c r="OQB45" s="292"/>
      <c r="OQC45" s="291"/>
      <c r="OQD45" s="292"/>
      <c r="OQE45" s="292"/>
      <c r="OQF45" s="292"/>
      <c r="OQG45" s="291"/>
      <c r="OQH45" s="292"/>
      <c r="OQI45" s="292"/>
      <c r="OQJ45" s="292"/>
      <c r="OQK45" s="291"/>
      <c r="OQL45" s="292"/>
      <c r="OQM45" s="292"/>
      <c r="OQN45" s="292"/>
      <c r="OQO45" s="291"/>
      <c r="OQP45" s="292"/>
      <c r="OQQ45" s="292"/>
      <c r="OQR45" s="292"/>
      <c r="OQS45" s="291"/>
      <c r="OQT45" s="292"/>
      <c r="OQU45" s="292"/>
      <c r="OQV45" s="292"/>
      <c r="OQW45" s="291"/>
      <c r="OQX45" s="292"/>
      <c r="OQY45" s="292"/>
      <c r="OQZ45" s="292"/>
      <c r="ORA45" s="291"/>
      <c r="ORB45" s="292"/>
      <c r="ORC45" s="292"/>
      <c r="ORD45" s="292"/>
      <c r="ORE45" s="291"/>
      <c r="ORF45" s="292"/>
      <c r="ORG45" s="292"/>
      <c r="ORH45" s="292"/>
      <c r="ORI45" s="291"/>
      <c r="ORJ45" s="292"/>
      <c r="ORK45" s="292"/>
      <c r="ORL45" s="292"/>
      <c r="ORM45" s="291"/>
      <c r="ORN45" s="292"/>
      <c r="ORO45" s="292"/>
      <c r="ORP45" s="292"/>
      <c r="ORQ45" s="291"/>
      <c r="ORR45" s="292"/>
      <c r="ORS45" s="292"/>
      <c r="ORT45" s="292"/>
      <c r="ORU45" s="291"/>
      <c r="ORV45" s="292"/>
      <c r="ORW45" s="292"/>
      <c r="ORX45" s="292"/>
      <c r="ORY45" s="291"/>
      <c r="ORZ45" s="292"/>
      <c r="OSA45" s="292"/>
      <c r="OSB45" s="292"/>
      <c r="OSC45" s="291"/>
      <c r="OSD45" s="292"/>
      <c r="OSE45" s="292"/>
      <c r="OSF45" s="292"/>
      <c r="OSG45" s="291"/>
      <c r="OSH45" s="292"/>
      <c r="OSI45" s="292"/>
      <c r="OSJ45" s="292"/>
      <c r="OSK45" s="291"/>
      <c r="OSL45" s="292"/>
      <c r="OSM45" s="292"/>
      <c r="OSN45" s="292"/>
      <c r="OSO45" s="291"/>
      <c r="OSP45" s="292"/>
      <c r="OSQ45" s="292"/>
      <c r="OSR45" s="292"/>
      <c r="OSS45" s="291"/>
      <c r="OST45" s="292"/>
      <c r="OSU45" s="292"/>
      <c r="OSV45" s="292"/>
      <c r="OSW45" s="291"/>
      <c r="OSX45" s="292"/>
      <c r="OSY45" s="292"/>
      <c r="OSZ45" s="292"/>
      <c r="OTA45" s="291"/>
      <c r="OTB45" s="292"/>
      <c r="OTC45" s="292"/>
      <c r="OTD45" s="292"/>
      <c r="OTE45" s="291"/>
      <c r="OTF45" s="292"/>
      <c r="OTG45" s="292"/>
      <c r="OTH45" s="292"/>
      <c r="OTI45" s="291"/>
      <c r="OTJ45" s="292"/>
      <c r="OTK45" s="292"/>
      <c r="OTL45" s="292"/>
      <c r="OTM45" s="291"/>
      <c r="OTN45" s="292"/>
      <c r="OTO45" s="292"/>
      <c r="OTP45" s="292"/>
      <c r="OTQ45" s="291"/>
      <c r="OTR45" s="292"/>
      <c r="OTS45" s="292"/>
      <c r="OTT45" s="292"/>
      <c r="OTU45" s="291"/>
      <c r="OTV45" s="292"/>
      <c r="OTW45" s="292"/>
      <c r="OTX45" s="292"/>
      <c r="OTY45" s="291"/>
      <c r="OTZ45" s="292"/>
      <c r="OUA45" s="292"/>
      <c r="OUB45" s="292"/>
      <c r="OUC45" s="291"/>
      <c r="OUD45" s="292"/>
      <c r="OUE45" s="292"/>
      <c r="OUF45" s="292"/>
      <c r="OUG45" s="291"/>
      <c r="OUH45" s="292"/>
      <c r="OUI45" s="292"/>
      <c r="OUJ45" s="292"/>
      <c r="OUK45" s="291"/>
      <c r="OUL45" s="292"/>
      <c r="OUM45" s="292"/>
      <c r="OUN45" s="292"/>
      <c r="OUO45" s="291"/>
      <c r="OUP45" s="292"/>
      <c r="OUQ45" s="292"/>
      <c r="OUR45" s="292"/>
      <c r="OUS45" s="291"/>
      <c r="OUT45" s="292"/>
      <c r="OUU45" s="292"/>
      <c r="OUV45" s="292"/>
      <c r="OUW45" s="291"/>
      <c r="OUX45" s="292"/>
      <c r="OUY45" s="292"/>
      <c r="OUZ45" s="292"/>
      <c r="OVA45" s="291"/>
      <c r="OVB45" s="292"/>
      <c r="OVC45" s="292"/>
      <c r="OVD45" s="292"/>
      <c r="OVE45" s="291"/>
      <c r="OVF45" s="292"/>
      <c r="OVG45" s="292"/>
      <c r="OVH45" s="292"/>
      <c r="OVI45" s="291"/>
      <c r="OVJ45" s="292"/>
      <c r="OVK45" s="292"/>
      <c r="OVL45" s="292"/>
      <c r="OVM45" s="291"/>
      <c r="OVN45" s="292"/>
      <c r="OVO45" s="292"/>
      <c r="OVP45" s="292"/>
      <c r="OVQ45" s="291"/>
      <c r="OVR45" s="292"/>
      <c r="OVS45" s="292"/>
      <c r="OVT45" s="292"/>
      <c r="OVU45" s="291"/>
      <c r="OVV45" s="292"/>
      <c r="OVW45" s="292"/>
      <c r="OVX45" s="292"/>
      <c r="OVY45" s="291"/>
      <c r="OVZ45" s="292"/>
      <c r="OWA45" s="292"/>
      <c r="OWB45" s="292"/>
      <c r="OWC45" s="291"/>
      <c r="OWD45" s="292"/>
      <c r="OWE45" s="292"/>
      <c r="OWF45" s="292"/>
      <c r="OWG45" s="291"/>
      <c r="OWH45" s="292"/>
      <c r="OWI45" s="292"/>
      <c r="OWJ45" s="292"/>
      <c r="OWK45" s="291"/>
      <c r="OWL45" s="292"/>
      <c r="OWM45" s="292"/>
      <c r="OWN45" s="292"/>
      <c r="OWO45" s="291"/>
      <c r="OWP45" s="292"/>
      <c r="OWQ45" s="292"/>
      <c r="OWR45" s="292"/>
      <c r="OWS45" s="291"/>
      <c r="OWT45" s="292"/>
      <c r="OWU45" s="292"/>
      <c r="OWV45" s="292"/>
      <c r="OWW45" s="291"/>
      <c r="OWX45" s="292"/>
      <c r="OWY45" s="292"/>
      <c r="OWZ45" s="292"/>
      <c r="OXA45" s="291"/>
      <c r="OXB45" s="292"/>
      <c r="OXC45" s="292"/>
      <c r="OXD45" s="292"/>
      <c r="OXE45" s="291"/>
      <c r="OXF45" s="292"/>
      <c r="OXG45" s="292"/>
      <c r="OXH45" s="292"/>
      <c r="OXI45" s="291"/>
      <c r="OXJ45" s="292"/>
      <c r="OXK45" s="292"/>
      <c r="OXL45" s="292"/>
      <c r="OXM45" s="291"/>
      <c r="OXN45" s="292"/>
      <c r="OXO45" s="292"/>
      <c r="OXP45" s="292"/>
      <c r="OXQ45" s="291"/>
      <c r="OXR45" s="292"/>
      <c r="OXS45" s="292"/>
      <c r="OXT45" s="292"/>
      <c r="OXU45" s="291"/>
      <c r="OXV45" s="292"/>
      <c r="OXW45" s="292"/>
      <c r="OXX45" s="292"/>
      <c r="OXY45" s="291"/>
      <c r="OXZ45" s="292"/>
      <c r="OYA45" s="292"/>
      <c r="OYB45" s="292"/>
      <c r="OYC45" s="291"/>
      <c r="OYD45" s="292"/>
      <c r="OYE45" s="292"/>
      <c r="OYF45" s="292"/>
      <c r="OYG45" s="291"/>
      <c r="OYH45" s="292"/>
      <c r="OYI45" s="292"/>
      <c r="OYJ45" s="292"/>
      <c r="OYK45" s="291"/>
      <c r="OYL45" s="292"/>
      <c r="OYM45" s="292"/>
      <c r="OYN45" s="292"/>
      <c r="OYO45" s="291"/>
      <c r="OYP45" s="292"/>
      <c r="OYQ45" s="292"/>
      <c r="OYR45" s="292"/>
      <c r="OYS45" s="291"/>
      <c r="OYT45" s="292"/>
      <c r="OYU45" s="292"/>
      <c r="OYV45" s="292"/>
      <c r="OYW45" s="291"/>
      <c r="OYX45" s="292"/>
      <c r="OYY45" s="292"/>
      <c r="OYZ45" s="292"/>
      <c r="OZA45" s="291"/>
      <c r="OZB45" s="292"/>
      <c r="OZC45" s="292"/>
      <c r="OZD45" s="292"/>
      <c r="OZE45" s="291"/>
      <c r="OZF45" s="292"/>
      <c r="OZG45" s="292"/>
      <c r="OZH45" s="292"/>
      <c r="OZI45" s="291"/>
      <c r="OZJ45" s="292"/>
      <c r="OZK45" s="292"/>
      <c r="OZL45" s="292"/>
      <c r="OZM45" s="291"/>
      <c r="OZN45" s="292"/>
      <c r="OZO45" s="292"/>
      <c r="OZP45" s="292"/>
      <c r="OZQ45" s="291"/>
      <c r="OZR45" s="292"/>
      <c r="OZS45" s="292"/>
      <c r="OZT45" s="292"/>
      <c r="OZU45" s="291"/>
      <c r="OZV45" s="292"/>
      <c r="OZW45" s="292"/>
      <c r="OZX45" s="292"/>
      <c r="OZY45" s="291"/>
      <c r="OZZ45" s="292"/>
      <c r="PAA45" s="292"/>
      <c r="PAB45" s="292"/>
      <c r="PAC45" s="291"/>
      <c r="PAD45" s="292"/>
      <c r="PAE45" s="292"/>
      <c r="PAF45" s="292"/>
      <c r="PAG45" s="291"/>
      <c r="PAH45" s="292"/>
      <c r="PAI45" s="292"/>
      <c r="PAJ45" s="292"/>
      <c r="PAK45" s="291"/>
      <c r="PAL45" s="292"/>
      <c r="PAM45" s="292"/>
      <c r="PAN45" s="292"/>
      <c r="PAO45" s="291"/>
      <c r="PAP45" s="292"/>
      <c r="PAQ45" s="292"/>
      <c r="PAR45" s="292"/>
      <c r="PAS45" s="291"/>
      <c r="PAT45" s="292"/>
      <c r="PAU45" s="292"/>
      <c r="PAV45" s="292"/>
      <c r="PAW45" s="291"/>
      <c r="PAX45" s="292"/>
      <c r="PAY45" s="292"/>
      <c r="PAZ45" s="292"/>
      <c r="PBA45" s="291"/>
      <c r="PBB45" s="292"/>
      <c r="PBC45" s="292"/>
      <c r="PBD45" s="292"/>
      <c r="PBE45" s="291"/>
      <c r="PBF45" s="292"/>
      <c r="PBG45" s="292"/>
      <c r="PBH45" s="292"/>
      <c r="PBI45" s="291"/>
      <c r="PBJ45" s="292"/>
      <c r="PBK45" s="292"/>
      <c r="PBL45" s="292"/>
      <c r="PBM45" s="291"/>
      <c r="PBN45" s="292"/>
      <c r="PBO45" s="292"/>
      <c r="PBP45" s="292"/>
      <c r="PBQ45" s="291"/>
      <c r="PBR45" s="292"/>
      <c r="PBS45" s="292"/>
      <c r="PBT45" s="292"/>
      <c r="PBU45" s="291"/>
      <c r="PBV45" s="292"/>
      <c r="PBW45" s="292"/>
      <c r="PBX45" s="292"/>
      <c r="PBY45" s="291"/>
      <c r="PBZ45" s="292"/>
      <c r="PCA45" s="292"/>
      <c r="PCB45" s="292"/>
      <c r="PCC45" s="291"/>
      <c r="PCD45" s="292"/>
      <c r="PCE45" s="292"/>
      <c r="PCF45" s="292"/>
      <c r="PCG45" s="291"/>
      <c r="PCH45" s="292"/>
      <c r="PCI45" s="292"/>
      <c r="PCJ45" s="292"/>
      <c r="PCK45" s="291"/>
      <c r="PCL45" s="292"/>
      <c r="PCM45" s="292"/>
      <c r="PCN45" s="292"/>
      <c r="PCO45" s="291"/>
      <c r="PCP45" s="292"/>
      <c r="PCQ45" s="292"/>
      <c r="PCR45" s="292"/>
      <c r="PCS45" s="291"/>
      <c r="PCT45" s="292"/>
      <c r="PCU45" s="292"/>
      <c r="PCV45" s="292"/>
      <c r="PCW45" s="291"/>
      <c r="PCX45" s="292"/>
      <c r="PCY45" s="292"/>
      <c r="PCZ45" s="292"/>
      <c r="PDA45" s="291"/>
      <c r="PDB45" s="292"/>
      <c r="PDC45" s="292"/>
      <c r="PDD45" s="292"/>
      <c r="PDE45" s="291"/>
      <c r="PDF45" s="292"/>
      <c r="PDG45" s="292"/>
      <c r="PDH45" s="292"/>
      <c r="PDI45" s="291"/>
      <c r="PDJ45" s="292"/>
      <c r="PDK45" s="292"/>
      <c r="PDL45" s="292"/>
      <c r="PDM45" s="291"/>
      <c r="PDN45" s="292"/>
      <c r="PDO45" s="292"/>
      <c r="PDP45" s="292"/>
      <c r="PDQ45" s="291"/>
      <c r="PDR45" s="292"/>
      <c r="PDS45" s="292"/>
      <c r="PDT45" s="292"/>
      <c r="PDU45" s="291"/>
      <c r="PDV45" s="292"/>
      <c r="PDW45" s="292"/>
      <c r="PDX45" s="292"/>
      <c r="PDY45" s="291"/>
      <c r="PDZ45" s="292"/>
      <c r="PEA45" s="292"/>
      <c r="PEB45" s="292"/>
      <c r="PEC45" s="291"/>
      <c r="PED45" s="292"/>
      <c r="PEE45" s="292"/>
      <c r="PEF45" s="292"/>
      <c r="PEG45" s="291"/>
      <c r="PEH45" s="292"/>
      <c r="PEI45" s="292"/>
      <c r="PEJ45" s="292"/>
      <c r="PEK45" s="291"/>
      <c r="PEL45" s="292"/>
      <c r="PEM45" s="292"/>
      <c r="PEN45" s="292"/>
      <c r="PEO45" s="291"/>
      <c r="PEP45" s="292"/>
      <c r="PEQ45" s="292"/>
      <c r="PER45" s="292"/>
      <c r="PES45" s="291"/>
      <c r="PET45" s="292"/>
      <c r="PEU45" s="292"/>
      <c r="PEV45" s="292"/>
      <c r="PEW45" s="291"/>
      <c r="PEX45" s="292"/>
      <c r="PEY45" s="292"/>
      <c r="PEZ45" s="292"/>
      <c r="PFA45" s="291"/>
      <c r="PFB45" s="292"/>
      <c r="PFC45" s="292"/>
      <c r="PFD45" s="292"/>
      <c r="PFE45" s="291"/>
      <c r="PFF45" s="292"/>
      <c r="PFG45" s="292"/>
      <c r="PFH45" s="292"/>
      <c r="PFI45" s="291"/>
      <c r="PFJ45" s="292"/>
      <c r="PFK45" s="292"/>
      <c r="PFL45" s="292"/>
      <c r="PFM45" s="291"/>
      <c r="PFN45" s="292"/>
      <c r="PFO45" s="292"/>
      <c r="PFP45" s="292"/>
      <c r="PFQ45" s="291"/>
      <c r="PFR45" s="292"/>
      <c r="PFS45" s="292"/>
      <c r="PFT45" s="292"/>
      <c r="PFU45" s="291"/>
      <c r="PFV45" s="292"/>
      <c r="PFW45" s="292"/>
      <c r="PFX45" s="292"/>
      <c r="PFY45" s="291"/>
      <c r="PFZ45" s="292"/>
      <c r="PGA45" s="292"/>
      <c r="PGB45" s="292"/>
      <c r="PGC45" s="291"/>
      <c r="PGD45" s="292"/>
      <c r="PGE45" s="292"/>
      <c r="PGF45" s="292"/>
      <c r="PGG45" s="291"/>
      <c r="PGH45" s="292"/>
      <c r="PGI45" s="292"/>
      <c r="PGJ45" s="292"/>
      <c r="PGK45" s="291"/>
      <c r="PGL45" s="292"/>
      <c r="PGM45" s="292"/>
      <c r="PGN45" s="292"/>
      <c r="PGO45" s="291"/>
      <c r="PGP45" s="292"/>
      <c r="PGQ45" s="292"/>
      <c r="PGR45" s="292"/>
      <c r="PGS45" s="291"/>
      <c r="PGT45" s="292"/>
      <c r="PGU45" s="292"/>
      <c r="PGV45" s="292"/>
      <c r="PGW45" s="291"/>
      <c r="PGX45" s="292"/>
      <c r="PGY45" s="292"/>
      <c r="PGZ45" s="292"/>
      <c r="PHA45" s="291"/>
      <c r="PHB45" s="292"/>
      <c r="PHC45" s="292"/>
      <c r="PHD45" s="292"/>
      <c r="PHE45" s="291"/>
      <c r="PHF45" s="292"/>
      <c r="PHG45" s="292"/>
      <c r="PHH45" s="292"/>
      <c r="PHI45" s="291"/>
      <c r="PHJ45" s="292"/>
      <c r="PHK45" s="292"/>
      <c r="PHL45" s="292"/>
      <c r="PHM45" s="291"/>
      <c r="PHN45" s="292"/>
      <c r="PHO45" s="292"/>
      <c r="PHP45" s="292"/>
      <c r="PHQ45" s="291"/>
      <c r="PHR45" s="292"/>
      <c r="PHS45" s="292"/>
      <c r="PHT45" s="292"/>
      <c r="PHU45" s="291"/>
      <c r="PHV45" s="292"/>
      <c r="PHW45" s="292"/>
      <c r="PHX45" s="292"/>
      <c r="PHY45" s="291"/>
      <c r="PHZ45" s="292"/>
      <c r="PIA45" s="292"/>
      <c r="PIB45" s="292"/>
      <c r="PIC45" s="291"/>
      <c r="PID45" s="292"/>
      <c r="PIE45" s="292"/>
      <c r="PIF45" s="292"/>
      <c r="PIG45" s="291"/>
      <c r="PIH45" s="292"/>
      <c r="PII45" s="292"/>
      <c r="PIJ45" s="292"/>
      <c r="PIK45" s="291"/>
      <c r="PIL45" s="292"/>
      <c r="PIM45" s="292"/>
      <c r="PIN45" s="292"/>
      <c r="PIO45" s="291"/>
      <c r="PIP45" s="292"/>
      <c r="PIQ45" s="292"/>
      <c r="PIR45" s="292"/>
      <c r="PIS45" s="291"/>
      <c r="PIT45" s="292"/>
      <c r="PIU45" s="292"/>
      <c r="PIV45" s="292"/>
      <c r="PIW45" s="291"/>
      <c r="PIX45" s="292"/>
      <c r="PIY45" s="292"/>
      <c r="PIZ45" s="292"/>
      <c r="PJA45" s="291"/>
      <c r="PJB45" s="292"/>
      <c r="PJC45" s="292"/>
      <c r="PJD45" s="292"/>
      <c r="PJE45" s="291"/>
      <c r="PJF45" s="292"/>
      <c r="PJG45" s="292"/>
      <c r="PJH45" s="292"/>
      <c r="PJI45" s="291"/>
      <c r="PJJ45" s="292"/>
      <c r="PJK45" s="292"/>
      <c r="PJL45" s="292"/>
      <c r="PJM45" s="291"/>
      <c r="PJN45" s="292"/>
      <c r="PJO45" s="292"/>
      <c r="PJP45" s="292"/>
      <c r="PJQ45" s="291"/>
      <c r="PJR45" s="292"/>
      <c r="PJS45" s="292"/>
      <c r="PJT45" s="292"/>
      <c r="PJU45" s="291"/>
      <c r="PJV45" s="292"/>
      <c r="PJW45" s="292"/>
      <c r="PJX45" s="292"/>
      <c r="PJY45" s="291"/>
      <c r="PJZ45" s="292"/>
      <c r="PKA45" s="292"/>
      <c r="PKB45" s="292"/>
      <c r="PKC45" s="291"/>
      <c r="PKD45" s="292"/>
      <c r="PKE45" s="292"/>
      <c r="PKF45" s="292"/>
      <c r="PKG45" s="291"/>
      <c r="PKH45" s="292"/>
      <c r="PKI45" s="292"/>
      <c r="PKJ45" s="292"/>
      <c r="PKK45" s="291"/>
      <c r="PKL45" s="292"/>
      <c r="PKM45" s="292"/>
      <c r="PKN45" s="292"/>
      <c r="PKO45" s="291"/>
      <c r="PKP45" s="292"/>
      <c r="PKQ45" s="292"/>
      <c r="PKR45" s="292"/>
      <c r="PKS45" s="291"/>
      <c r="PKT45" s="292"/>
      <c r="PKU45" s="292"/>
      <c r="PKV45" s="292"/>
      <c r="PKW45" s="291"/>
      <c r="PKX45" s="292"/>
      <c r="PKY45" s="292"/>
      <c r="PKZ45" s="292"/>
      <c r="PLA45" s="291"/>
      <c r="PLB45" s="292"/>
      <c r="PLC45" s="292"/>
      <c r="PLD45" s="292"/>
      <c r="PLE45" s="291"/>
      <c r="PLF45" s="292"/>
      <c r="PLG45" s="292"/>
      <c r="PLH45" s="292"/>
      <c r="PLI45" s="291"/>
      <c r="PLJ45" s="292"/>
      <c r="PLK45" s="292"/>
      <c r="PLL45" s="292"/>
      <c r="PLM45" s="291"/>
      <c r="PLN45" s="292"/>
      <c r="PLO45" s="292"/>
      <c r="PLP45" s="292"/>
      <c r="PLQ45" s="291"/>
      <c r="PLR45" s="292"/>
      <c r="PLS45" s="292"/>
      <c r="PLT45" s="292"/>
      <c r="PLU45" s="291"/>
      <c r="PLV45" s="292"/>
      <c r="PLW45" s="292"/>
      <c r="PLX45" s="292"/>
      <c r="PLY45" s="291"/>
      <c r="PLZ45" s="292"/>
      <c r="PMA45" s="292"/>
      <c r="PMB45" s="292"/>
      <c r="PMC45" s="291"/>
      <c r="PMD45" s="292"/>
      <c r="PME45" s="292"/>
      <c r="PMF45" s="292"/>
      <c r="PMG45" s="291"/>
      <c r="PMH45" s="292"/>
      <c r="PMI45" s="292"/>
      <c r="PMJ45" s="292"/>
      <c r="PMK45" s="291"/>
      <c r="PML45" s="292"/>
      <c r="PMM45" s="292"/>
      <c r="PMN45" s="292"/>
      <c r="PMO45" s="291"/>
      <c r="PMP45" s="292"/>
      <c r="PMQ45" s="292"/>
      <c r="PMR45" s="292"/>
      <c r="PMS45" s="291"/>
      <c r="PMT45" s="292"/>
      <c r="PMU45" s="292"/>
      <c r="PMV45" s="292"/>
      <c r="PMW45" s="291"/>
      <c r="PMX45" s="292"/>
      <c r="PMY45" s="292"/>
      <c r="PMZ45" s="292"/>
      <c r="PNA45" s="291"/>
      <c r="PNB45" s="292"/>
      <c r="PNC45" s="292"/>
      <c r="PND45" s="292"/>
      <c r="PNE45" s="291"/>
      <c r="PNF45" s="292"/>
      <c r="PNG45" s="292"/>
      <c r="PNH45" s="292"/>
      <c r="PNI45" s="291"/>
      <c r="PNJ45" s="292"/>
      <c r="PNK45" s="292"/>
      <c r="PNL45" s="292"/>
      <c r="PNM45" s="291"/>
      <c r="PNN45" s="292"/>
      <c r="PNO45" s="292"/>
      <c r="PNP45" s="292"/>
      <c r="PNQ45" s="291"/>
      <c r="PNR45" s="292"/>
      <c r="PNS45" s="292"/>
      <c r="PNT45" s="292"/>
      <c r="PNU45" s="291"/>
      <c r="PNV45" s="292"/>
      <c r="PNW45" s="292"/>
      <c r="PNX45" s="292"/>
      <c r="PNY45" s="291"/>
      <c r="PNZ45" s="292"/>
      <c r="POA45" s="292"/>
      <c r="POB45" s="292"/>
      <c r="POC45" s="291"/>
      <c r="POD45" s="292"/>
      <c r="POE45" s="292"/>
      <c r="POF45" s="292"/>
      <c r="POG45" s="291"/>
      <c r="POH45" s="292"/>
      <c r="POI45" s="292"/>
      <c r="POJ45" s="292"/>
      <c r="POK45" s="291"/>
      <c r="POL45" s="292"/>
      <c r="POM45" s="292"/>
      <c r="PON45" s="292"/>
      <c r="POO45" s="291"/>
      <c r="POP45" s="292"/>
      <c r="POQ45" s="292"/>
      <c r="POR45" s="292"/>
      <c r="POS45" s="291"/>
      <c r="POT45" s="292"/>
      <c r="POU45" s="292"/>
      <c r="POV45" s="292"/>
      <c r="POW45" s="291"/>
      <c r="POX45" s="292"/>
      <c r="POY45" s="292"/>
      <c r="POZ45" s="292"/>
      <c r="PPA45" s="291"/>
      <c r="PPB45" s="292"/>
      <c r="PPC45" s="292"/>
      <c r="PPD45" s="292"/>
      <c r="PPE45" s="291"/>
      <c r="PPF45" s="292"/>
      <c r="PPG45" s="292"/>
      <c r="PPH45" s="292"/>
      <c r="PPI45" s="291"/>
      <c r="PPJ45" s="292"/>
      <c r="PPK45" s="292"/>
      <c r="PPL45" s="292"/>
      <c r="PPM45" s="291"/>
      <c r="PPN45" s="292"/>
      <c r="PPO45" s="292"/>
      <c r="PPP45" s="292"/>
      <c r="PPQ45" s="291"/>
      <c r="PPR45" s="292"/>
      <c r="PPS45" s="292"/>
      <c r="PPT45" s="292"/>
      <c r="PPU45" s="291"/>
      <c r="PPV45" s="292"/>
      <c r="PPW45" s="292"/>
      <c r="PPX45" s="292"/>
      <c r="PPY45" s="291"/>
      <c r="PPZ45" s="292"/>
      <c r="PQA45" s="292"/>
      <c r="PQB45" s="292"/>
      <c r="PQC45" s="291"/>
      <c r="PQD45" s="292"/>
      <c r="PQE45" s="292"/>
      <c r="PQF45" s="292"/>
      <c r="PQG45" s="291"/>
      <c r="PQH45" s="292"/>
      <c r="PQI45" s="292"/>
      <c r="PQJ45" s="292"/>
      <c r="PQK45" s="291"/>
      <c r="PQL45" s="292"/>
      <c r="PQM45" s="292"/>
      <c r="PQN45" s="292"/>
      <c r="PQO45" s="291"/>
      <c r="PQP45" s="292"/>
      <c r="PQQ45" s="292"/>
      <c r="PQR45" s="292"/>
      <c r="PQS45" s="291"/>
      <c r="PQT45" s="292"/>
      <c r="PQU45" s="292"/>
      <c r="PQV45" s="292"/>
      <c r="PQW45" s="291"/>
      <c r="PQX45" s="292"/>
      <c r="PQY45" s="292"/>
      <c r="PQZ45" s="292"/>
      <c r="PRA45" s="291"/>
      <c r="PRB45" s="292"/>
      <c r="PRC45" s="292"/>
      <c r="PRD45" s="292"/>
      <c r="PRE45" s="291"/>
      <c r="PRF45" s="292"/>
      <c r="PRG45" s="292"/>
      <c r="PRH45" s="292"/>
      <c r="PRI45" s="291"/>
      <c r="PRJ45" s="292"/>
      <c r="PRK45" s="292"/>
      <c r="PRL45" s="292"/>
      <c r="PRM45" s="291"/>
      <c r="PRN45" s="292"/>
      <c r="PRO45" s="292"/>
      <c r="PRP45" s="292"/>
      <c r="PRQ45" s="291"/>
      <c r="PRR45" s="292"/>
      <c r="PRS45" s="292"/>
      <c r="PRT45" s="292"/>
      <c r="PRU45" s="291"/>
      <c r="PRV45" s="292"/>
      <c r="PRW45" s="292"/>
      <c r="PRX45" s="292"/>
      <c r="PRY45" s="291"/>
      <c r="PRZ45" s="292"/>
      <c r="PSA45" s="292"/>
      <c r="PSB45" s="292"/>
      <c r="PSC45" s="291"/>
      <c r="PSD45" s="292"/>
      <c r="PSE45" s="292"/>
      <c r="PSF45" s="292"/>
      <c r="PSG45" s="291"/>
      <c r="PSH45" s="292"/>
      <c r="PSI45" s="292"/>
      <c r="PSJ45" s="292"/>
      <c r="PSK45" s="291"/>
      <c r="PSL45" s="292"/>
      <c r="PSM45" s="292"/>
      <c r="PSN45" s="292"/>
      <c r="PSO45" s="291"/>
      <c r="PSP45" s="292"/>
      <c r="PSQ45" s="292"/>
      <c r="PSR45" s="292"/>
      <c r="PSS45" s="291"/>
      <c r="PST45" s="292"/>
      <c r="PSU45" s="292"/>
      <c r="PSV45" s="292"/>
      <c r="PSW45" s="291"/>
      <c r="PSX45" s="292"/>
      <c r="PSY45" s="292"/>
      <c r="PSZ45" s="292"/>
      <c r="PTA45" s="291"/>
      <c r="PTB45" s="292"/>
      <c r="PTC45" s="292"/>
      <c r="PTD45" s="292"/>
      <c r="PTE45" s="291"/>
      <c r="PTF45" s="292"/>
      <c r="PTG45" s="292"/>
      <c r="PTH45" s="292"/>
      <c r="PTI45" s="291"/>
      <c r="PTJ45" s="292"/>
      <c r="PTK45" s="292"/>
      <c r="PTL45" s="292"/>
      <c r="PTM45" s="291"/>
      <c r="PTN45" s="292"/>
      <c r="PTO45" s="292"/>
      <c r="PTP45" s="292"/>
      <c r="PTQ45" s="291"/>
      <c r="PTR45" s="292"/>
      <c r="PTS45" s="292"/>
      <c r="PTT45" s="292"/>
      <c r="PTU45" s="291"/>
      <c r="PTV45" s="292"/>
      <c r="PTW45" s="292"/>
      <c r="PTX45" s="292"/>
      <c r="PTY45" s="291"/>
      <c r="PTZ45" s="292"/>
      <c r="PUA45" s="292"/>
      <c r="PUB45" s="292"/>
      <c r="PUC45" s="291"/>
      <c r="PUD45" s="292"/>
      <c r="PUE45" s="292"/>
      <c r="PUF45" s="292"/>
      <c r="PUG45" s="291"/>
      <c r="PUH45" s="292"/>
      <c r="PUI45" s="292"/>
      <c r="PUJ45" s="292"/>
      <c r="PUK45" s="291"/>
      <c r="PUL45" s="292"/>
      <c r="PUM45" s="292"/>
      <c r="PUN45" s="292"/>
      <c r="PUO45" s="291"/>
      <c r="PUP45" s="292"/>
      <c r="PUQ45" s="292"/>
      <c r="PUR45" s="292"/>
      <c r="PUS45" s="291"/>
      <c r="PUT45" s="292"/>
      <c r="PUU45" s="292"/>
      <c r="PUV45" s="292"/>
      <c r="PUW45" s="291"/>
      <c r="PUX45" s="292"/>
      <c r="PUY45" s="292"/>
      <c r="PUZ45" s="292"/>
      <c r="PVA45" s="291"/>
      <c r="PVB45" s="292"/>
      <c r="PVC45" s="292"/>
      <c r="PVD45" s="292"/>
      <c r="PVE45" s="291"/>
      <c r="PVF45" s="292"/>
      <c r="PVG45" s="292"/>
      <c r="PVH45" s="292"/>
      <c r="PVI45" s="291"/>
      <c r="PVJ45" s="292"/>
      <c r="PVK45" s="292"/>
      <c r="PVL45" s="292"/>
      <c r="PVM45" s="291"/>
      <c r="PVN45" s="292"/>
      <c r="PVO45" s="292"/>
      <c r="PVP45" s="292"/>
      <c r="PVQ45" s="291"/>
      <c r="PVR45" s="292"/>
      <c r="PVS45" s="292"/>
      <c r="PVT45" s="292"/>
      <c r="PVU45" s="291"/>
      <c r="PVV45" s="292"/>
      <c r="PVW45" s="292"/>
      <c r="PVX45" s="292"/>
      <c r="PVY45" s="291"/>
      <c r="PVZ45" s="292"/>
      <c r="PWA45" s="292"/>
      <c r="PWB45" s="292"/>
      <c r="PWC45" s="291"/>
      <c r="PWD45" s="292"/>
      <c r="PWE45" s="292"/>
      <c r="PWF45" s="292"/>
      <c r="PWG45" s="291"/>
      <c r="PWH45" s="292"/>
      <c r="PWI45" s="292"/>
      <c r="PWJ45" s="292"/>
      <c r="PWK45" s="291"/>
      <c r="PWL45" s="292"/>
      <c r="PWM45" s="292"/>
      <c r="PWN45" s="292"/>
      <c r="PWO45" s="291"/>
      <c r="PWP45" s="292"/>
      <c r="PWQ45" s="292"/>
      <c r="PWR45" s="292"/>
      <c r="PWS45" s="291"/>
      <c r="PWT45" s="292"/>
      <c r="PWU45" s="292"/>
      <c r="PWV45" s="292"/>
      <c r="PWW45" s="291"/>
      <c r="PWX45" s="292"/>
      <c r="PWY45" s="292"/>
      <c r="PWZ45" s="292"/>
      <c r="PXA45" s="291"/>
      <c r="PXB45" s="292"/>
      <c r="PXC45" s="292"/>
      <c r="PXD45" s="292"/>
      <c r="PXE45" s="291"/>
      <c r="PXF45" s="292"/>
      <c r="PXG45" s="292"/>
      <c r="PXH45" s="292"/>
      <c r="PXI45" s="291"/>
      <c r="PXJ45" s="292"/>
      <c r="PXK45" s="292"/>
      <c r="PXL45" s="292"/>
      <c r="PXM45" s="291"/>
      <c r="PXN45" s="292"/>
      <c r="PXO45" s="292"/>
      <c r="PXP45" s="292"/>
      <c r="PXQ45" s="291"/>
      <c r="PXR45" s="292"/>
      <c r="PXS45" s="292"/>
      <c r="PXT45" s="292"/>
      <c r="PXU45" s="291"/>
      <c r="PXV45" s="292"/>
      <c r="PXW45" s="292"/>
      <c r="PXX45" s="292"/>
      <c r="PXY45" s="291"/>
      <c r="PXZ45" s="292"/>
      <c r="PYA45" s="292"/>
      <c r="PYB45" s="292"/>
      <c r="PYC45" s="291"/>
      <c r="PYD45" s="292"/>
      <c r="PYE45" s="292"/>
      <c r="PYF45" s="292"/>
      <c r="PYG45" s="291"/>
      <c r="PYH45" s="292"/>
      <c r="PYI45" s="292"/>
      <c r="PYJ45" s="292"/>
      <c r="PYK45" s="291"/>
      <c r="PYL45" s="292"/>
      <c r="PYM45" s="292"/>
      <c r="PYN45" s="292"/>
      <c r="PYO45" s="291"/>
      <c r="PYP45" s="292"/>
      <c r="PYQ45" s="292"/>
      <c r="PYR45" s="292"/>
      <c r="PYS45" s="291"/>
      <c r="PYT45" s="292"/>
      <c r="PYU45" s="292"/>
      <c r="PYV45" s="292"/>
      <c r="PYW45" s="291"/>
      <c r="PYX45" s="292"/>
      <c r="PYY45" s="292"/>
      <c r="PYZ45" s="292"/>
      <c r="PZA45" s="291"/>
      <c r="PZB45" s="292"/>
      <c r="PZC45" s="292"/>
      <c r="PZD45" s="292"/>
      <c r="PZE45" s="291"/>
      <c r="PZF45" s="292"/>
      <c r="PZG45" s="292"/>
      <c r="PZH45" s="292"/>
      <c r="PZI45" s="291"/>
      <c r="PZJ45" s="292"/>
      <c r="PZK45" s="292"/>
      <c r="PZL45" s="292"/>
      <c r="PZM45" s="291"/>
      <c r="PZN45" s="292"/>
      <c r="PZO45" s="292"/>
      <c r="PZP45" s="292"/>
      <c r="PZQ45" s="291"/>
      <c r="PZR45" s="292"/>
      <c r="PZS45" s="292"/>
      <c r="PZT45" s="292"/>
      <c r="PZU45" s="291"/>
      <c r="PZV45" s="292"/>
      <c r="PZW45" s="292"/>
      <c r="PZX45" s="292"/>
      <c r="PZY45" s="291"/>
      <c r="PZZ45" s="292"/>
      <c r="QAA45" s="292"/>
      <c r="QAB45" s="292"/>
      <c r="QAC45" s="291"/>
      <c r="QAD45" s="292"/>
      <c r="QAE45" s="292"/>
      <c r="QAF45" s="292"/>
      <c r="QAG45" s="291"/>
      <c r="QAH45" s="292"/>
      <c r="QAI45" s="292"/>
      <c r="QAJ45" s="292"/>
      <c r="QAK45" s="291"/>
      <c r="QAL45" s="292"/>
      <c r="QAM45" s="292"/>
      <c r="QAN45" s="292"/>
      <c r="QAO45" s="291"/>
      <c r="QAP45" s="292"/>
      <c r="QAQ45" s="292"/>
      <c r="QAR45" s="292"/>
      <c r="QAS45" s="291"/>
      <c r="QAT45" s="292"/>
      <c r="QAU45" s="292"/>
      <c r="QAV45" s="292"/>
      <c r="QAW45" s="291"/>
      <c r="QAX45" s="292"/>
      <c r="QAY45" s="292"/>
      <c r="QAZ45" s="292"/>
      <c r="QBA45" s="291"/>
      <c r="QBB45" s="292"/>
      <c r="QBC45" s="292"/>
      <c r="QBD45" s="292"/>
      <c r="QBE45" s="291"/>
      <c r="QBF45" s="292"/>
      <c r="QBG45" s="292"/>
      <c r="QBH45" s="292"/>
      <c r="QBI45" s="291"/>
      <c r="QBJ45" s="292"/>
      <c r="QBK45" s="292"/>
      <c r="QBL45" s="292"/>
      <c r="QBM45" s="291"/>
      <c r="QBN45" s="292"/>
      <c r="QBO45" s="292"/>
      <c r="QBP45" s="292"/>
      <c r="QBQ45" s="291"/>
      <c r="QBR45" s="292"/>
      <c r="QBS45" s="292"/>
      <c r="QBT45" s="292"/>
      <c r="QBU45" s="291"/>
      <c r="QBV45" s="292"/>
      <c r="QBW45" s="292"/>
      <c r="QBX45" s="292"/>
      <c r="QBY45" s="291"/>
      <c r="QBZ45" s="292"/>
      <c r="QCA45" s="292"/>
      <c r="QCB45" s="292"/>
      <c r="QCC45" s="291"/>
      <c r="QCD45" s="292"/>
      <c r="QCE45" s="292"/>
      <c r="QCF45" s="292"/>
      <c r="QCG45" s="291"/>
      <c r="QCH45" s="292"/>
      <c r="QCI45" s="292"/>
      <c r="QCJ45" s="292"/>
      <c r="QCK45" s="291"/>
      <c r="QCL45" s="292"/>
      <c r="QCM45" s="292"/>
      <c r="QCN45" s="292"/>
      <c r="QCO45" s="291"/>
      <c r="QCP45" s="292"/>
      <c r="QCQ45" s="292"/>
      <c r="QCR45" s="292"/>
      <c r="QCS45" s="291"/>
      <c r="QCT45" s="292"/>
      <c r="QCU45" s="292"/>
      <c r="QCV45" s="292"/>
      <c r="QCW45" s="291"/>
      <c r="QCX45" s="292"/>
      <c r="QCY45" s="292"/>
      <c r="QCZ45" s="292"/>
      <c r="QDA45" s="291"/>
      <c r="QDB45" s="292"/>
      <c r="QDC45" s="292"/>
      <c r="QDD45" s="292"/>
      <c r="QDE45" s="291"/>
      <c r="QDF45" s="292"/>
      <c r="QDG45" s="292"/>
      <c r="QDH45" s="292"/>
      <c r="QDI45" s="291"/>
      <c r="QDJ45" s="292"/>
      <c r="QDK45" s="292"/>
      <c r="QDL45" s="292"/>
      <c r="QDM45" s="291"/>
      <c r="QDN45" s="292"/>
      <c r="QDO45" s="292"/>
      <c r="QDP45" s="292"/>
      <c r="QDQ45" s="291"/>
      <c r="QDR45" s="292"/>
      <c r="QDS45" s="292"/>
      <c r="QDT45" s="292"/>
      <c r="QDU45" s="291"/>
      <c r="QDV45" s="292"/>
      <c r="QDW45" s="292"/>
      <c r="QDX45" s="292"/>
      <c r="QDY45" s="291"/>
      <c r="QDZ45" s="292"/>
      <c r="QEA45" s="292"/>
      <c r="QEB45" s="292"/>
      <c r="QEC45" s="291"/>
      <c r="QED45" s="292"/>
      <c r="QEE45" s="292"/>
      <c r="QEF45" s="292"/>
      <c r="QEG45" s="291"/>
      <c r="QEH45" s="292"/>
      <c r="QEI45" s="292"/>
      <c r="QEJ45" s="292"/>
      <c r="QEK45" s="291"/>
      <c r="QEL45" s="292"/>
      <c r="QEM45" s="292"/>
      <c r="QEN45" s="292"/>
      <c r="QEO45" s="291"/>
      <c r="QEP45" s="292"/>
      <c r="QEQ45" s="292"/>
      <c r="QER45" s="292"/>
      <c r="QES45" s="291"/>
      <c r="QET45" s="292"/>
      <c r="QEU45" s="292"/>
      <c r="QEV45" s="292"/>
      <c r="QEW45" s="291"/>
      <c r="QEX45" s="292"/>
      <c r="QEY45" s="292"/>
      <c r="QEZ45" s="292"/>
      <c r="QFA45" s="291"/>
      <c r="QFB45" s="292"/>
      <c r="QFC45" s="292"/>
      <c r="QFD45" s="292"/>
      <c r="QFE45" s="291"/>
      <c r="QFF45" s="292"/>
      <c r="QFG45" s="292"/>
      <c r="QFH45" s="292"/>
      <c r="QFI45" s="291"/>
      <c r="QFJ45" s="292"/>
      <c r="QFK45" s="292"/>
      <c r="QFL45" s="292"/>
      <c r="QFM45" s="291"/>
      <c r="QFN45" s="292"/>
      <c r="QFO45" s="292"/>
      <c r="QFP45" s="292"/>
      <c r="QFQ45" s="291"/>
      <c r="QFR45" s="292"/>
      <c r="QFS45" s="292"/>
      <c r="QFT45" s="292"/>
      <c r="QFU45" s="291"/>
      <c r="QFV45" s="292"/>
      <c r="QFW45" s="292"/>
      <c r="QFX45" s="292"/>
      <c r="QFY45" s="291"/>
      <c r="QFZ45" s="292"/>
      <c r="QGA45" s="292"/>
      <c r="QGB45" s="292"/>
      <c r="QGC45" s="291"/>
      <c r="QGD45" s="292"/>
      <c r="QGE45" s="292"/>
      <c r="QGF45" s="292"/>
      <c r="QGG45" s="291"/>
      <c r="QGH45" s="292"/>
      <c r="QGI45" s="292"/>
      <c r="QGJ45" s="292"/>
      <c r="QGK45" s="291"/>
      <c r="QGL45" s="292"/>
      <c r="QGM45" s="292"/>
      <c r="QGN45" s="292"/>
      <c r="QGO45" s="291"/>
      <c r="QGP45" s="292"/>
      <c r="QGQ45" s="292"/>
      <c r="QGR45" s="292"/>
      <c r="QGS45" s="291"/>
      <c r="QGT45" s="292"/>
      <c r="QGU45" s="292"/>
      <c r="QGV45" s="292"/>
      <c r="QGW45" s="291"/>
      <c r="QGX45" s="292"/>
      <c r="QGY45" s="292"/>
      <c r="QGZ45" s="292"/>
      <c r="QHA45" s="291"/>
      <c r="QHB45" s="292"/>
      <c r="QHC45" s="292"/>
      <c r="QHD45" s="292"/>
      <c r="QHE45" s="291"/>
      <c r="QHF45" s="292"/>
      <c r="QHG45" s="292"/>
      <c r="QHH45" s="292"/>
      <c r="QHI45" s="291"/>
      <c r="QHJ45" s="292"/>
      <c r="QHK45" s="292"/>
      <c r="QHL45" s="292"/>
      <c r="QHM45" s="291"/>
      <c r="QHN45" s="292"/>
      <c r="QHO45" s="292"/>
      <c r="QHP45" s="292"/>
      <c r="QHQ45" s="291"/>
      <c r="QHR45" s="292"/>
      <c r="QHS45" s="292"/>
      <c r="QHT45" s="292"/>
      <c r="QHU45" s="291"/>
      <c r="QHV45" s="292"/>
      <c r="QHW45" s="292"/>
      <c r="QHX45" s="292"/>
      <c r="QHY45" s="291"/>
      <c r="QHZ45" s="292"/>
      <c r="QIA45" s="292"/>
      <c r="QIB45" s="292"/>
      <c r="QIC45" s="291"/>
      <c r="QID45" s="292"/>
      <c r="QIE45" s="292"/>
      <c r="QIF45" s="292"/>
      <c r="QIG45" s="291"/>
      <c r="QIH45" s="292"/>
      <c r="QII45" s="292"/>
      <c r="QIJ45" s="292"/>
      <c r="QIK45" s="291"/>
      <c r="QIL45" s="292"/>
      <c r="QIM45" s="292"/>
      <c r="QIN45" s="292"/>
      <c r="QIO45" s="291"/>
      <c r="QIP45" s="292"/>
      <c r="QIQ45" s="292"/>
      <c r="QIR45" s="292"/>
      <c r="QIS45" s="291"/>
      <c r="QIT45" s="292"/>
      <c r="QIU45" s="292"/>
      <c r="QIV45" s="292"/>
      <c r="QIW45" s="291"/>
      <c r="QIX45" s="292"/>
      <c r="QIY45" s="292"/>
      <c r="QIZ45" s="292"/>
      <c r="QJA45" s="291"/>
      <c r="QJB45" s="292"/>
      <c r="QJC45" s="292"/>
      <c r="QJD45" s="292"/>
      <c r="QJE45" s="291"/>
      <c r="QJF45" s="292"/>
      <c r="QJG45" s="292"/>
      <c r="QJH45" s="292"/>
      <c r="QJI45" s="291"/>
      <c r="QJJ45" s="292"/>
      <c r="QJK45" s="292"/>
      <c r="QJL45" s="292"/>
      <c r="QJM45" s="291"/>
      <c r="QJN45" s="292"/>
      <c r="QJO45" s="292"/>
      <c r="QJP45" s="292"/>
      <c r="QJQ45" s="291"/>
      <c r="QJR45" s="292"/>
      <c r="QJS45" s="292"/>
      <c r="QJT45" s="292"/>
      <c r="QJU45" s="291"/>
      <c r="QJV45" s="292"/>
      <c r="QJW45" s="292"/>
      <c r="QJX45" s="292"/>
      <c r="QJY45" s="291"/>
      <c r="QJZ45" s="292"/>
      <c r="QKA45" s="292"/>
      <c r="QKB45" s="292"/>
      <c r="QKC45" s="291"/>
      <c r="QKD45" s="292"/>
      <c r="QKE45" s="292"/>
      <c r="QKF45" s="292"/>
      <c r="QKG45" s="291"/>
      <c r="QKH45" s="292"/>
      <c r="QKI45" s="292"/>
      <c r="QKJ45" s="292"/>
      <c r="QKK45" s="291"/>
      <c r="QKL45" s="292"/>
      <c r="QKM45" s="292"/>
      <c r="QKN45" s="292"/>
      <c r="QKO45" s="291"/>
      <c r="QKP45" s="292"/>
      <c r="QKQ45" s="292"/>
      <c r="QKR45" s="292"/>
      <c r="QKS45" s="291"/>
      <c r="QKT45" s="292"/>
      <c r="QKU45" s="292"/>
      <c r="QKV45" s="292"/>
      <c r="QKW45" s="291"/>
      <c r="QKX45" s="292"/>
      <c r="QKY45" s="292"/>
      <c r="QKZ45" s="292"/>
      <c r="QLA45" s="291"/>
      <c r="QLB45" s="292"/>
      <c r="QLC45" s="292"/>
      <c r="QLD45" s="292"/>
      <c r="QLE45" s="291"/>
      <c r="QLF45" s="292"/>
      <c r="QLG45" s="292"/>
      <c r="QLH45" s="292"/>
      <c r="QLI45" s="291"/>
      <c r="QLJ45" s="292"/>
      <c r="QLK45" s="292"/>
      <c r="QLL45" s="292"/>
      <c r="QLM45" s="291"/>
      <c r="QLN45" s="292"/>
      <c r="QLO45" s="292"/>
      <c r="QLP45" s="292"/>
      <c r="QLQ45" s="291"/>
      <c r="QLR45" s="292"/>
      <c r="QLS45" s="292"/>
      <c r="QLT45" s="292"/>
      <c r="QLU45" s="291"/>
      <c r="QLV45" s="292"/>
      <c r="QLW45" s="292"/>
      <c r="QLX45" s="292"/>
      <c r="QLY45" s="291"/>
      <c r="QLZ45" s="292"/>
      <c r="QMA45" s="292"/>
      <c r="QMB45" s="292"/>
      <c r="QMC45" s="291"/>
      <c r="QMD45" s="292"/>
      <c r="QME45" s="292"/>
      <c r="QMF45" s="292"/>
      <c r="QMG45" s="291"/>
      <c r="QMH45" s="292"/>
      <c r="QMI45" s="292"/>
      <c r="QMJ45" s="292"/>
      <c r="QMK45" s="291"/>
      <c r="QML45" s="292"/>
      <c r="QMM45" s="292"/>
      <c r="QMN45" s="292"/>
      <c r="QMO45" s="291"/>
      <c r="QMP45" s="292"/>
      <c r="QMQ45" s="292"/>
      <c r="QMR45" s="292"/>
      <c r="QMS45" s="291"/>
      <c r="QMT45" s="292"/>
      <c r="QMU45" s="292"/>
      <c r="QMV45" s="292"/>
      <c r="QMW45" s="291"/>
      <c r="QMX45" s="292"/>
      <c r="QMY45" s="292"/>
      <c r="QMZ45" s="292"/>
      <c r="QNA45" s="291"/>
      <c r="QNB45" s="292"/>
      <c r="QNC45" s="292"/>
      <c r="QND45" s="292"/>
      <c r="QNE45" s="291"/>
      <c r="QNF45" s="292"/>
      <c r="QNG45" s="292"/>
      <c r="QNH45" s="292"/>
      <c r="QNI45" s="291"/>
      <c r="QNJ45" s="292"/>
      <c r="QNK45" s="292"/>
      <c r="QNL45" s="292"/>
      <c r="QNM45" s="291"/>
      <c r="QNN45" s="292"/>
      <c r="QNO45" s="292"/>
      <c r="QNP45" s="292"/>
      <c r="QNQ45" s="291"/>
      <c r="QNR45" s="292"/>
      <c r="QNS45" s="292"/>
      <c r="QNT45" s="292"/>
      <c r="QNU45" s="291"/>
      <c r="QNV45" s="292"/>
      <c r="QNW45" s="292"/>
      <c r="QNX45" s="292"/>
      <c r="QNY45" s="291"/>
      <c r="QNZ45" s="292"/>
      <c r="QOA45" s="292"/>
      <c r="QOB45" s="292"/>
      <c r="QOC45" s="291"/>
      <c r="QOD45" s="292"/>
      <c r="QOE45" s="292"/>
      <c r="QOF45" s="292"/>
      <c r="QOG45" s="291"/>
      <c r="QOH45" s="292"/>
      <c r="QOI45" s="292"/>
      <c r="QOJ45" s="292"/>
      <c r="QOK45" s="291"/>
      <c r="QOL45" s="292"/>
      <c r="QOM45" s="292"/>
      <c r="QON45" s="292"/>
      <c r="QOO45" s="291"/>
      <c r="QOP45" s="292"/>
      <c r="QOQ45" s="292"/>
      <c r="QOR45" s="292"/>
      <c r="QOS45" s="291"/>
      <c r="QOT45" s="292"/>
      <c r="QOU45" s="292"/>
      <c r="QOV45" s="292"/>
      <c r="QOW45" s="291"/>
      <c r="QOX45" s="292"/>
      <c r="QOY45" s="292"/>
      <c r="QOZ45" s="292"/>
      <c r="QPA45" s="291"/>
      <c r="QPB45" s="292"/>
      <c r="QPC45" s="292"/>
      <c r="QPD45" s="292"/>
      <c r="QPE45" s="291"/>
      <c r="QPF45" s="292"/>
      <c r="QPG45" s="292"/>
      <c r="QPH45" s="292"/>
      <c r="QPI45" s="291"/>
      <c r="QPJ45" s="292"/>
      <c r="QPK45" s="292"/>
      <c r="QPL45" s="292"/>
      <c r="QPM45" s="291"/>
      <c r="QPN45" s="292"/>
      <c r="QPO45" s="292"/>
      <c r="QPP45" s="292"/>
      <c r="QPQ45" s="291"/>
      <c r="QPR45" s="292"/>
      <c r="QPS45" s="292"/>
      <c r="QPT45" s="292"/>
      <c r="QPU45" s="291"/>
      <c r="QPV45" s="292"/>
      <c r="QPW45" s="292"/>
      <c r="QPX45" s="292"/>
      <c r="QPY45" s="291"/>
      <c r="QPZ45" s="292"/>
      <c r="QQA45" s="292"/>
      <c r="QQB45" s="292"/>
      <c r="QQC45" s="291"/>
      <c r="QQD45" s="292"/>
      <c r="QQE45" s="292"/>
      <c r="QQF45" s="292"/>
      <c r="QQG45" s="291"/>
      <c r="QQH45" s="292"/>
      <c r="QQI45" s="292"/>
      <c r="QQJ45" s="292"/>
      <c r="QQK45" s="291"/>
      <c r="QQL45" s="292"/>
      <c r="QQM45" s="292"/>
      <c r="QQN45" s="292"/>
      <c r="QQO45" s="291"/>
      <c r="QQP45" s="292"/>
      <c r="QQQ45" s="292"/>
      <c r="QQR45" s="292"/>
      <c r="QQS45" s="291"/>
      <c r="QQT45" s="292"/>
      <c r="QQU45" s="292"/>
      <c r="QQV45" s="292"/>
      <c r="QQW45" s="291"/>
      <c r="QQX45" s="292"/>
      <c r="QQY45" s="292"/>
      <c r="QQZ45" s="292"/>
      <c r="QRA45" s="291"/>
      <c r="QRB45" s="292"/>
      <c r="QRC45" s="292"/>
      <c r="QRD45" s="292"/>
      <c r="QRE45" s="291"/>
      <c r="QRF45" s="292"/>
      <c r="QRG45" s="292"/>
      <c r="QRH45" s="292"/>
      <c r="QRI45" s="291"/>
      <c r="QRJ45" s="292"/>
      <c r="QRK45" s="292"/>
      <c r="QRL45" s="292"/>
      <c r="QRM45" s="291"/>
      <c r="QRN45" s="292"/>
      <c r="QRO45" s="292"/>
      <c r="QRP45" s="292"/>
      <c r="QRQ45" s="291"/>
      <c r="QRR45" s="292"/>
      <c r="QRS45" s="292"/>
      <c r="QRT45" s="292"/>
      <c r="QRU45" s="291"/>
      <c r="QRV45" s="292"/>
      <c r="QRW45" s="292"/>
      <c r="QRX45" s="292"/>
      <c r="QRY45" s="291"/>
      <c r="QRZ45" s="292"/>
      <c r="QSA45" s="292"/>
      <c r="QSB45" s="292"/>
      <c r="QSC45" s="291"/>
      <c r="QSD45" s="292"/>
      <c r="QSE45" s="292"/>
      <c r="QSF45" s="292"/>
      <c r="QSG45" s="291"/>
      <c r="QSH45" s="292"/>
      <c r="QSI45" s="292"/>
      <c r="QSJ45" s="292"/>
      <c r="QSK45" s="291"/>
      <c r="QSL45" s="292"/>
      <c r="QSM45" s="292"/>
      <c r="QSN45" s="292"/>
      <c r="QSO45" s="291"/>
      <c r="QSP45" s="292"/>
      <c r="QSQ45" s="292"/>
      <c r="QSR45" s="292"/>
      <c r="QSS45" s="291"/>
      <c r="QST45" s="292"/>
      <c r="QSU45" s="292"/>
      <c r="QSV45" s="292"/>
      <c r="QSW45" s="291"/>
      <c r="QSX45" s="292"/>
      <c r="QSY45" s="292"/>
      <c r="QSZ45" s="292"/>
      <c r="QTA45" s="291"/>
      <c r="QTB45" s="292"/>
      <c r="QTC45" s="292"/>
      <c r="QTD45" s="292"/>
      <c r="QTE45" s="291"/>
      <c r="QTF45" s="292"/>
      <c r="QTG45" s="292"/>
      <c r="QTH45" s="292"/>
      <c r="QTI45" s="291"/>
      <c r="QTJ45" s="292"/>
      <c r="QTK45" s="292"/>
      <c r="QTL45" s="292"/>
      <c r="QTM45" s="291"/>
      <c r="QTN45" s="292"/>
      <c r="QTO45" s="292"/>
      <c r="QTP45" s="292"/>
      <c r="QTQ45" s="291"/>
      <c r="QTR45" s="292"/>
      <c r="QTS45" s="292"/>
      <c r="QTT45" s="292"/>
      <c r="QTU45" s="291"/>
      <c r="QTV45" s="292"/>
      <c r="QTW45" s="292"/>
      <c r="QTX45" s="292"/>
      <c r="QTY45" s="291"/>
      <c r="QTZ45" s="292"/>
      <c r="QUA45" s="292"/>
      <c r="QUB45" s="292"/>
      <c r="QUC45" s="291"/>
      <c r="QUD45" s="292"/>
      <c r="QUE45" s="292"/>
      <c r="QUF45" s="292"/>
      <c r="QUG45" s="291"/>
      <c r="QUH45" s="292"/>
      <c r="QUI45" s="292"/>
      <c r="QUJ45" s="292"/>
      <c r="QUK45" s="291"/>
      <c r="QUL45" s="292"/>
      <c r="QUM45" s="292"/>
      <c r="QUN45" s="292"/>
      <c r="QUO45" s="291"/>
      <c r="QUP45" s="292"/>
      <c r="QUQ45" s="292"/>
      <c r="QUR45" s="292"/>
      <c r="QUS45" s="291"/>
      <c r="QUT45" s="292"/>
      <c r="QUU45" s="292"/>
      <c r="QUV45" s="292"/>
      <c r="QUW45" s="291"/>
      <c r="QUX45" s="292"/>
      <c r="QUY45" s="292"/>
      <c r="QUZ45" s="292"/>
      <c r="QVA45" s="291"/>
      <c r="QVB45" s="292"/>
      <c r="QVC45" s="292"/>
      <c r="QVD45" s="292"/>
      <c r="QVE45" s="291"/>
      <c r="QVF45" s="292"/>
      <c r="QVG45" s="292"/>
      <c r="QVH45" s="292"/>
      <c r="QVI45" s="291"/>
      <c r="QVJ45" s="292"/>
      <c r="QVK45" s="292"/>
      <c r="QVL45" s="292"/>
      <c r="QVM45" s="291"/>
      <c r="QVN45" s="292"/>
      <c r="QVO45" s="292"/>
      <c r="QVP45" s="292"/>
      <c r="QVQ45" s="291"/>
      <c r="QVR45" s="292"/>
      <c r="QVS45" s="292"/>
      <c r="QVT45" s="292"/>
      <c r="QVU45" s="291"/>
      <c r="QVV45" s="292"/>
      <c r="QVW45" s="292"/>
      <c r="QVX45" s="292"/>
      <c r="QVY45" s="291"/>
      <c r="QVZ45" s="292"/>
      <c r="QWA45" s="292"/>
      <c r="QWB45" s="292"/>
      <c r="QWC45" s="291"/>
      <c r="QWD45" s="292"/>
      <c r="QWE45" s="292"/>
      <c r="QWF45" s="292"/>
      <c r="QWG45" s="291"/>
      <c r="QWH45" s="292"/>
      <c r="QWI45" s="292"/>
      <c r="QWJ45" s="292"/>
      <c r="QWK45" s="291"/>
      <c r="QWL45" s="292"/>
      <c r="QWM45" s="292"/>
      <c r="QWN45" s="292"/>
      <c r="QWO45" s="291"/>
      <c r="QWP45" s="292"/>
      <c r="QWQ45" s="292"/>
      <c r="QWR45" s="292"/>
      <c r="QWS45" s="291"/>
      <c r="QWT45" s="292"/>
      <c r="QWU45" s="292"/>
      <c r="QWV45" s="292"/>
      <c r="QWW45" s="291"/>
      <c r="QWX45" s="292"/>
      <c r="QWY45" s="292"/>
      <c r="QWZ45" s="292"/>
      <c r="QXA45" s="291"/>
      <c r="QXB45" s="292"/>
      <c r="QXC45" s="292"/>
      <c r="QXD45" s="292"/>
      <c r="QXE45" s="291"/>
      <c r="QXF45" s="292"/>
      <c r="QXG45" s="292"/>
      <c r="QXH45" s="292"/>
      <c r="QXI45" s="291"/>
      <c r="QXJ45" s="292"/>
      <c r="QXK45" s="292"/>
      <c r="QXL45" s="292"/>
      <c r="QXM45" s="291"/>
      <c r="QXN45" s="292"/>
      <c r="QXO45" s="292"/>
      <c r="QXP45" s="292"/>
      <c r="QXQ45" s="291"/>
      <c r="QXR45" s="292"/>
      <c r="QXS45" s="292"/>
      <c r="QXT45" s="292"/>
      <c r="QXU45" s="291"/>
      <c r="QXV45" s="292"/>
      <c r="QXW45" s="292"/>
      <c r="QXX45" s="292"/>
      <c r="QXY45" s="291"/>
      <c r="QXZ45" s="292"/>
      <c r="QYA45" s="292"/>
      <c r="QYB45" s="292"/>
      <c r="QYC45" s="291"/>
      <c r="QYD45" s="292"/>
      <c r="QYE45" s="292"/>
      <c r="QYF45" s="292"/>
      <c r="QYG45" s="291"/>
      <c r="QYH45" s="292"/>
      <c r="QYI45" s="292"/>
      <c r="QYJ45" s="292"/>
      <c r="QYK45" s="291"/>
      <c r="QYL45" s="292"/>
      <c r="QYM45" s="292"/>
      <c r="QYN45" s="292"/>
      <c r="QYO45" s="291"/>
      <c r="QYP45" s="292"/>
      <c r="QYQ45" s="292"/>
      <c r="QYR45" s="292"/>
      <c r="QYS45" s="291"/>
      <c r="QYT45" s="292"/>
      <c r="QYU45" s="292"/>
      <c r="QYV45" s="292"/>
      <c r="QYW45" s="291"/>
      <c r="QYX45" s="292"/>
      <c r="QYY45" s="292"/>
      <c r="QYZ45" s="292"/>
      <c r="QZA45" s="291"/>
      <c r="QZB45" s="292"/>
      <c r="QZC45" s="292"/>
      <c r="QZD45" s="292"/>
      <c r="QZE45" s="291"/>
      <c r="QZF45" s="292"/>
      <c r="QZG45" s="292"/>
      <c r="QZH45" s="292"/>
      <c r="QZI45" s="291"/>
      <c r="QZJ45" s="292"/>
      <c r="QZK45" s="292"/>
      <c r="QZL45" s="292"/>
      <c r="QZM45" s="291"/>
      <c r="QZN45" s="292"/>
      <c r="QZO45" s="292"/>
      <c r="QZP45" s="292"/>
      <c r="QZQ45" s="291"/>
      <c r="QZR45" s="292"/>
      <c r="QZS45" s="292"/>
      <c r="QZT45" s="292"/>
      <c r="QZU45" s="291"/>
      <c r="QZV45" s="292"/>
      <c r="QZW45" s="292"/>
      <c r="QZX45" s="292"/>
      <c r="QZY45" s="291"/>
      <c r="QZZ45" s="292"/>
      <c r="RAA45" s="292"/>
      <c r="RAB45" s="292"/>
      <c r="RAC45" s="291"/>
      <c r="RAD45" s="292"/>
      <c r="RAE45" s="292"/>
      <c r="RAF45" s="292"/>
      <c r="RAG45" s="291"/>
      <c r="RAH45" s="292"/>
      <c r="RAI45" s="292"/>
      <c r="RAJ45" s="292"/>
      <c r="RAK45" s="291"/>
      <c r="RAL45" s="292"/>
      <c r="RAM45" s="292"/>
      <c r="RAN45" s="292"/>
      <c r="RAO45" s="291"/>
      <c r="RAP45" s="292"/>
      <c r="RAQ45" s="292"/>
      <c r="RAR45" s="292"/>
      <c r="RAS45" s="291"/>
      <c r="RAT45" s="292"/>
      <c r="RAU45" s="292"/>
      <c r="RAV45" s="292"/>
      <c r="RAW45" s="291"/>
      <c r="RAX45" s="292"/>
      <c r="RAY45" s="292"/>
      <c r="RAZ45" s="292"/>
      <c r="RBA45" s="291"/>
      <c r="RBB45" s="292"/>
      <c r="RBC45" s="292"/>
      <c r="RBD45" s="292"/>
      <c r="RBE45" s="291"/>
      <c r="RBF45" s="292"/>
      <c r="RBG45" s="292"/>
      <c r="RBH45" s="292"/>
      <c r="RBI45" s="291"/>
      <c r="RBJ45" s="292"/>
      <c r="RBK45" s="292"/>
      <c r="RBL45" s="292"/>
      <c r="RBM45" s="291"/>
      <c r="RBN45" s="292"/>
      <c r="RBO45" s="292"/>
      <c r="RBP45" s="292"/>
      <c r="RBQ45" s="291"/>
      <c r="RBR45" s="292"/>
      <c r="RBS45" s="292"/>
      <c r="RBT45" s="292"/>
      <c r="RBU45" s="291"/>
      <c r="RBV45" s="292"/>
      <c r="RBW45" s="292"/>
      <c r="RBX45" s="292"/>
      <c r="RBY45" s="291"/>
      <c r="RBZ45" s="292"/>
      <c r="RCA45" s="292"/>
      <c r="RCB45" s="292"/>
      <c r="RCC45" s="291"/>
      <c r="RCD45" s="292"/>
      <c r="RCE45" s="292"/>
      <c r="RCF45" s="292"/>
      <c r="RCG45" s="291"/>
      <c r="RCH45" s="292"/>
      <c r="RCI45" s="292"/>
      <c r="RCJ45" s="292"/>
      <c r="RCK45" s="291"/>
      <c r="RCL45" s="292"/>
      <c r="RCM45" s="292"/>
      <c r="RCN45" s="292"/>
      <c r="RCO45" s="291"/>
      <c r="RCP45" s="292"/>
      <c r="RCQ45" s="292"/>
      <c r="RCR45" s="292"/>
      <c r="RCS45" s="291"/>
      <c r="RCT45" s="292"/>
      <c r="RCU45" s="292"/>
      <c r="RCV45" s="292"/>
      <c r="RCW45" s="291"/>
      <c r="RCX45" s="292"/>
      <c r="RCY45" s="292"/>
      <c r="RCZ45" s="292"/>
      <c r="RDA45" s="291"/>
      <c r="RDB45" s="292"/>
      <c r="RDC45" s="292"/>
      <c r="RDD45" s="292"/>
      <c r="RDE45" s="291"/>
      <c r="RDF45" s="292"/>
      <c r="RDG45" s="292"/>
      <c r="RDH45" s="292"/>
      <c r="RDI45" s="291"/>
      <c r="RDJ45" s="292"/>
      <c r="RDK45" s="292"/>
      <c r="RDL45" s="292"/>
      <c r="RDM45" s="291"/>
      <c r="RDN45" s="292"/>
      <c r="RDO45" s="292"/>
      <c r="RDP45" s="292"/>
      <c r="RDQ45" s="291"/>
      <c r="RDR45" s="292"/>
      <c r="RDS45" s="292"/>
      <c r="RDT45" s="292"/>
      <c r="RDU45" s="291"/>
      <c r="RDV45" s="292"/>
      <c r="RDW45" s="292"/>
      <c r="RDX45" s="292"/>
      <c r="RDY45" s="291"/>
      <c r="RDZ45" s="292"/>
      <c r="REA45" s="292"/>
      <c r="REB45" s="292"/>
      <c r="REC45" s="291"/>
      <c r="RED45" s="292"/>
      <c r="REE45" s="292"/>
      <c r="REF45" s="292"/>
      <c r="REG45" s="291"/>
      <c r="REH45" s="292"/>
      <c r="REI45" s="292"/>
      <c r="REJ45" s="292"/>
      <c r="REK45" s="291"/>
      <c r="REL45" s="292"/>
      <c r="REM45" s="292"/>
      <c r="REN45" s="292"/>
      <c r="REO45" s="291"/>
      <c r="REP45" s="292"/>
      <c r="REQ45" s="292"/>
      <c r="RER45" s="292"/>
      <c r="RES45" s="291"/>
      <c r="RET45" s="292"/>
      <c r="REU45" s="292"/>
      <c r="REV45" s="292"/>
      <c r="REW45" s="291"/>
      <c r="REX45" s="292"/>
      <c r="REY45" s="292"/>
      <c r="REZ45" s="292"/>
      <c r="RFA45" s="291"/>
      <c r="RFB45" s="292"/>
      <c r="RFC45" s="292"/>
      <c r="RFD45" s="292"/>
      <c r="RFE45" s="291"/>
      <c r="RFF45" s="292"/>
      <c r="RFG45" s="292"/>
      <c r="RFH45" s="292"/>
      <c r="RFI45" s="291"/>
      <c r="RFJ45" s="292"/>
      <c r="RFK45" s="292"/>
      <c r="RFL45" s="292"/>
      <c r="RFM45" s="291"/>
      <c r="RFN45" s="292"/>
      <c r="RFO45" s="292"/>
      <c r="RFP45" s="292"/>
      <c r="RFQ45" s="291"/>
      <c r="RFR45" s="292"/>
      <c r="RFS45" s="292"/>
      <c r="RFT45" s="292"/>
      <c r="RFU45" s="291"/>
      <c r="RFV45" s="292"/>
      <c r="RFW45" s="292"/>
      <c r="RFX45" s="292"/>
      <c r="RFY45" s="291"/>
      <c r="RFZ45" s="292"/>
      <c r="RGA45" s="292"/>
      <c r="RGB45" s="292"/>
      <c r="RGC45" s="291"/>
      <c r="RGD45" s="292"/>
      <c r="RGE45" s="292"/>
      <c r="RGF45" s="292"/>
      <c r="RGG45" s="291"/>
      <c r="RGH45" s="292"/>
      <c r="RGI45" s="292"/>
      <c r="RGJ45" s="292"/>
      <c r="RGK45" s="291"/>
      <c r="RGL45" s="292"/>
      <c r="RGM45" s="292"/>
      <c r="RGN45" s="292"/>
      <c r="RGO45" s="291"/>
      <c r="RGP45" s="292"/>
      <c r="RGQ45" s="292"/>
      <c r="RGR45" s="292"/>
      <c r="RGS45" s="291"/>
      <c r="RGT45" s="292"/>
      <c r="RGU45" s="292"/>
      <c r="RGV45" s="292"/>
      <c r="RGW45" s="291"/>
      <c r="RGX45" s="292"/>
      <c r="RGY45" s="292"/>
      <c r="RGZ45" s="292"/>
      <c r="RHA45" s="291"/>
      <c r="RHB45" s="292"/>
      <c r="RHC45" s="292"/>
      <c r="RHD45" s="292"/>
      <c r="RHE45" s="291"/>
      <c r="RHF45" s="292"/>
      <c r="RHG45" s="292"/>
      <c r="RHH45" s="292"/>
      <c r="RHI45" s="291"/>
      <c r="RHJ45" s="292"/>
      <c r="RHK45" s="292"/>
      <c r="RHL45" s="292"/>
      <c r="RHM45" s="291"/>
      <c r="RHN45" s="292"/>
      <c r="RHO45" s="292"/>
      <c r="RHP45" s="292"/>
      <c r="RHQ45" s="291"/>
      <c r="RHR45" s="292"/>
      <c r="RHS45" s="292"/>
      <c r="RHT45" s="292"/>
      <c r="RHU45" s="291"/>
      <c r="RHV45" s="292"/>
      <c r="RHW45" s="292"/>
      <c r="RHX45" s="292"/>
      <c r="RHY45" s="291"/>
      <c r="RHZ45" s="292"/>
      <c r="RIA45" s="292"/>
      <c r="RIB45" s="292"/>
      <c r="RIC45" s="291"/>
      <c r="RID45" s="292"/>
      <c r="RIE45" s="292"/>
      <c r="RIF45" s="292"/>
      <c r="RIG45" s="291"/>
      <c r="RIH45" s="292"/>
      <c r="RII45" s="292"/>
      <c r="RIJ45" s="292"/>
      <c r="RIK45" s="291"/>
      <c r="RIL45" s="292"/>
      <c r="RIM45" s="292"/>
      <c r="RIN45" s="292"/>
      <c r="RIO45" s="291"/>
      <c r="RIP45" s="292"/>
      <c r="RIQ45" s="292"/>
      <c r="RIR45" s="292"/>
      <c r="RIS45" s="291"/>
      <c r="RIT45" s="292"/>
      <c r="RIU45" s="292"/>
      <c r="RIV45" s="292"/>
      <c r="RIW45" s="291"/>
      <c r="RIX45" s="292"/>
      <c r="RIY45" s="292"/>
      <c r="RIZ45" s="292"/>
      <c r="RJA45" s="291"/>
      <c r="RJB45" s="292"/>
      <c r="RJC45" s="292"/>
      <c r="RJD45" s="292"/>
      <c r="RJE45" s="291"/>
      <c r="RJF45" s="292"/>
      <c r="RJG45" s="292"/>
      <c r="RJH45" s="292"/>
      <c r="RJI45" s="291"/>
      <c r="RJJ45" s="292"/>
      <c r="RJK45" s="292"/>
      <c r="RJL45" s="292"/>
      <c r="RJM45" s="291"/>
      <c r="RJN45" s="292"/>
      <c r="RJO45" s="292"/>
      <c r="RJP45" s="292"/>
      <c r="RJQ45" s="291"/>
      <c r="RJR45" s="292"/>
      <c r="RJS45" s="292"/>
      <c r="RJT45" s="292"/>
      <c r="RJU45" s="291"/>
      <c r="RJV45" s="292"/>
      <c r="RJW45" s="292"/>
      <c r="RJX45" s="292"/>
      <c r="RJY45" s="291"/>
      <c r="RJZ45" s="292"/>
      <c r="RKA45" s="292"/>
      <c r="RKB45" s="292"/>
      <c r="RKC45" s="291"/>
      <c r="RKD45" s="292"/>
      <c r="RKE45" s="292"/>
      <c r="RKF45" s="292"/>
      <c r="RKG45" s="291"/>
      <c r="RKH45" s="292"/>
      <c r="RKI45" s="292"/>
      <c r="RKJ45" s="292"/>
      <c r="RKK45" s="291"/>
      <c r="RKL45" s="292"/>
      <c r="RKM45" s="292"/>
      <c r="RKN45" s="292"/>
      <c r="RKO45" s="291"/>
      <c r="RKP45" s="292"/>
      <c r="RKQ45" s="292"/>
      <c r="RKR45" s="292"/>
      <c r="RKS45" s="291"/>
      <c r="RKT45" s="292"/>
      <c r="RKU45" s="292"/>
      <c r="RKV45" s="292"/>
      <c r="RKW45" s="291"/>
      <c r="RKX45" s="292"/>
      <c r="RKY45" s="292"/>
      <c r="RKZ45" s="292"/>
      <c r="RLA45" s="291"/>
      <c r="RLB45" s="292"/>
      <c r="RLC45" s="292"/>
      <c r="RLD45" s="292"/>
      <c r="RLE45" s="291"/>
      <c r="RLF45" s="292"/>
      <c r="RLG45" s="292"/>
      <c r="RLH45" s="292"/>
      <c r="RLI45" s="291"/>
      <c r="RLJ45" s="292"/>
      <c r="RLK45" s="292"/>
      <c r="RLL45" s="292"/>
      <c r="RLM45" s="291"/>
      <c r="RLN45" s="292"/>
      <c r="RLO45" s="292"/>
      <c r="RLP45" s="292"/>
      <c r="RLQ45" s="291"/>
      <c r="RLR45" s="292"/>
      <c r="RLS45" s="292"/>
      <c r="RLT45" s="292"/>
      <c r="RLU45" s="291"/>
      <c r="RLV45" s="292"/>
      <c r="RLW45" s="292"/>
      <c r="RLX45" s="292"/>
      <c r="RLY45" s="291"/>
      <c r="RLZ45" s="292"/>
      <c r="RMA45" s="292"/>
      <c r="RMB45" s="292"/>
      <c r="RMC45" s="291"/>
      <c r="RMD45" s="292"/>
      <c r="RME45" s="292"/>
      <c r="RMF45" s="292"/>
      <c r="RMG45" s="291"/>
      <c r="RMH45" s="292"/>
      <c r="RMI45" s="292"/>
      <c r="RMJ45" s="292"/>
      <c r="RMK45" s="291"/>
      <c r="RML45" s="292"/>
      <c r="RMM45" s="292"/>
      <c r="RMN45" s="292"/>
      <c r="RMO45" s="291"/>
      <c r="RMP45" s="292"/>
      <c r="RMQ45" s="292"/>
      <c r="RMR45" s="292"/>
      <c r="RMS45" s="291"/>
      <c r="RMT45" s="292"/>
      <c r="RMU45" s="292"/>
      <c r="RMV45" s="292"/>
      <c r="RMW45" s="291"/>
      <c r="RMX45" s="292"/>
      <c r="RMY45" s="292"/>
      <c r="RMZ45" s="292"/>
      <c r="RNA45" s="291"/>
      <c r="RNB45" s="292"/>
      <c r="RNC45" s="292"/>
      <c r="RND45" s="292"/>
      <c r="RNE45" s="291"/>
      <c r="RNF45" s="292"/>
      <c r="RNG45" s="292"/>
      <c r="RNH45" s="292"/>
      <c r="RNI45" s="291"/>
      <c r="RNJ45" s="292"/>
      <c r="RNK45" s="292"/>
      <c r="RNL45" s="292"/>
      <c r="RNM45" s="291"/>
      <c r="RNN45" s="292"/>
      <c r="RNO45" s="292"/>
      <c r="RNP45" s="292"/>
      <c r="RNQ45" s="291"/>
      <c r="RNR45" s="292"/>
      <c r="RNS45" s="292"/>
      <c r="RNT45" s="292"/>
      <c r="RNU45" s="291"/>
      <c r="RNV45" s="292"/>
      <c r="RNW45" s="292"/>
      <c r="RNX45" s="292"/>
      <c r="RNY45" s="291"/>
      <c r="RNZ45" s="292"/>
      <c r="ROA45" s="292"/>
      <c r="ROB45" s="292"/>
      <c r="ROC45" s="291"/>
      <c r="ROD45" s="292"/>
      <c r="ROE45" s="292"/>
      <c r="ROF45" s="292"/>
      <c r="ROG45" s="291"/>
      <c r="ROH45" s="292"/>
      <c r="ROI45" s="292"/>
      <c r="ROJ45" s="292"/>
      <c r="ROK45" s="291"/>
      <c r="ROL45" s="292"/>
      <c r="ROM45" s="292"/>
      <c r="RON45" s="292"/>
      <c r="ROO45" s="291"/>
      <c r="ROP45" s="292"/>
      <c r="ROQ45" s="292"/>
      <c r="ROR45" s="292"/>
      <c r="ROS45" s="291"/>
      <c r="ROT45" s="292"/>
      <c r="ROU45" s="292"/>
      <c r="ROV45" s="292"/>
      <c r="ROW45" s="291"/>
      <c r="ROX45" s="292"/>
      <c r="ROY45" s="292"/>
      <c r="ROZ45" s="292"/>
      <c r="RPA45" s="291"/>
      <c r="RPB45" s="292"/>
      <c r="RPC45" s="292"/>
      <c r="RPD45" s="292"/>
      <c r="RPE45" s="291"/>
      <c r="RPF45" s="292"/>
      <c r="RPG45" s="292"/>
      <c r="RPH45" s="292"/>
      <c r="RPI45" s="291"/>
      <c r="RPJ45" s="292"/>
      <c r="RPK45" s="292"/>
      <c r="RPL45" s="292"/>
      <c r="RPM45" s="291"/>
      <c r="RPN45" s="292"/>
      <c r="RPO45" s="292"/>
      <c r="RPP45" s="292"/>
      <c r="RPQ45" s="291"/>
      <c r="RPR45" s="292"/>
      <c r="RPS45" s="292"/>
      <c r="RPT45" s="292"/>
      <c r="RPU45" s="291"/>
      <c r="RPV45" s="292"/>
      <c r="RPW45" s="292"/>
      <c r="RPX45" s="292"/>
      <c r="RPY45" s="291"/>
      <c r="RPZ45" s="292"/>
      <c r="RQA45" s="292"/>
      <c r="RQB45" s="292"/>
      <c r="RQC45" s="291"/>
      <c r="RQD45" s="292"/>
      <c r="RQE45" s="292"/>
      <c r="RQF45" s="292"/>
      <c r="RQG45" s="291"/>
      <c r="RQH45" s="292"/>
      <c r="RQI45" s="292"/>
      <c r="RQJ45" s="292"/>
      <c r="RQK45" s="291"/>
      <c r="RQL45" s="292"/>
      <c r="RQM45" s="292"/>
      <c r="RQN45" s="292"/>
      <c r="RQO45" s="291"/>
      <c r="RQP45" s="292"/>
      <c r="RQQ45" s="292"/>
      <c r="RQR45" s="292"/>
      <c r="RQS45" s="291"/>
      <c r="RQT45" s="292"/>
      <c r="RQU45" s="292"/>
      <c r="RQV45" s="292"/>
      <c r="RQW45" s="291"/>
      <c r="RQX45" s="292"/>
      <c r="RQY45" s="292"/>
      <c r="RQZ45" s="292"/>
      <c r="RRA45" s="291"/>
      <c r="RRB45" s="292"/>
      <c r="RRC45" s="292"/>
      <c r="RRD45" s="292"/>
      <c r="RRE45" s="291"/>
      <c r="RRF45" s="292"/>
      <c r="RRG45" s="292"/>
      <c r="RRH45" s="292"/>
      <c r="RRI45" s="291"/>
      <c r="RRJ45" s="292"/>
      <c r="RRK45" s="292"/>
      <c r="RRL45" s="292"/>
      <c r="RRM45" s="291"/>
      <c r="RRN45" s="292"/>
      <c r="RRO45" s="292"/>
      <c r="RRP45" s="292"/>
      <c r="RRQ45" s="291"/>
      <c r="RRR45" s="292"/>
      <c r="RRS45" s="292"/>
      <c r="RRT45" s="292"/>
      <c r="RRU45" s="291"/>
      <c r="RRV45" s="292"/>
      <c r="RRW45" s="292"/>
      <c r="RRX45" s="292"/>
      <c r="RRY45" s="291"/>
      <c r="RRZ45" s="292"/>
      <c r="RSA45" s="292"/>
      <c r="RSB45" s="292"/>
      <c r="RSC45" s="291"/>
      <c r="RSD45" s="292"/>
      <c r="RSE45" s="292"/>
      <c r="RSF45" s="292"/>
      <c r="RSG45" s="291"/>
      <c r="RSH45" s="292"/>
      <c r="RSI45" s="292"/>
      <c r="RSJ45" s="292"/>
      <c r="RSK45" s="291"/>
      <c r="RSL45" s="292"/>
      <c r="RSM45" s="292"/>
      <c r="RSN45" s="292"/>
      <c r="RSO45" s="291"/>
      <c r="RSP45" s="292"/>
      <c r="RSQ45" s="292"/>
      <c r="RSR45" s="292"/>
      <c r="RSS45" s="291"/>
      <c r="RST45" s="292"/>
      <c r="RSU45" s="292"/>
      <c r="RSV45" s="292"/>
      <c r="RSW45" s="291"/>
      <c r="RSX45" s="292"/>
      <c r="RSY45" s="292"/>
      <c r="RSZ45" s="292"/>
      <c r="RTA45" s="291"/>
      <c r="RTB45" s="292"/>
      <c r="RTC45" s="292"/>
      <c r="RTD45" s="292"/>
      <c r="RTE45" s="291"/>
      <c r="RTF45" s="292"/>
      <c r="RTG45" s="292"/>
      <c r="RTH45" s="292"/>
      <c r="RTI45" s="291"/>
      <c r="RTJ45" s="292"/>
      <c r="RTK45" s="292"/>
      <c r="RTL45" s="292"/>
      <c r="RTM45" s="291"/>
      <c r="RTN45" s="292"/>
      <c r="RTO45" s="292"/>
      <c r="RTP45" s="292"/>
      <c r="RTQ45" s="291"/>
      <c r="RTR45" s="292"/>
      <c r="RTS45" s="292"/>
      <c r="RTT45" s="292"/>
      <c r="RTU45" s="291"/>
      <c r="RTV45" s="292"/>
      <c r="RTW45" s="292"/>
      <c r="RTX45" s="292"/>
      <c r="RTY45" s="291"/>
      <c r="RTZ45" s="292"/>
      <c r="RUA45" s="292"/>
      <c r="RUB45" s="292"/>
      <c r="RUC45" s="291"/>
      <c r="RUD45" s="292"/>
      <c r="RUE45" s="292"/>
      <c r="RUF45" s="292"/>
      <c r="RUG45" s="291"/>
      <c r="RUH45" s="292"/>
      <c r="RUI45" s="292"/>
      <c r="RUJ45" s="292"/>
      <c r="RUK45" s="291"/>
      <c r="RUL45" s="292"/>
      <c r="RUM45" s="292"/>
      <c r="RUN45" s="292"/>
      <c r="RUO45" s="291"/>
      <c r="RUP45" s="292"/>
      <c r="RUQ45" s="292"/>
      <c r="RUR45" s="292"/>
      <c r="RUS45" s="291"/>
      <c r="RUT45" s="292"/>
      <c r="RUU45" s="292"/>
      <c r="RUV45" s="292"/>
      <c r="RUW45" s="291"/>
      <c r="RUX45" s="292"/>
      <c r="RUY45" s="292"/>
      <c r="RUZ45" s="292"/>
      <c r="RVA45" s="291"/>
      <c r="RVB45" s="292"/>
      <c r="RVC45" s="292"/>
      <c r="RVD45" s="292"/>
      <c r="RVE45" s="291"/>
      <c r="RVF45" s="292"/>
      <c r="RVG45" s="292"/>
      <c r="RVH45" s="292"/>
      <c r="RVI45" s="291"/>
      <c r="RVJ45" s="292"/>
      <c r="RVK45" s="292"/>
      <c r="RVL45" s="292"/>
      <c r="RVM45" s="291"/>
      <c r="RVN45" s="292"/>
      <c r="RVO45" s="292"/>
      <c r="RVP45" s="292"/>
      <c r="RVQ45" s="291"/>
      <c r="RVR45" s="292"/>
      <c r="RVS45" s="292"/>
      <c r="RVT45" s="292"/>
      <c r="RVU45" s="291"/>
      <c r="RVV45" s="292"/>
      <c r="RVW45" s="292"/>
      <c r="RVX45" s="292"/>
      <c r="RVY45" s="291"/>
      <c r="RVZ45" s="292"/>
      <c r="RWA45" s="292"/>
      <c r="RWB45" s="292"/>
      <c r="RWC45" s="291"/>
      <c r="RWD45" s="292"/>
      <c r="RWE45" s="292"/>
      <c r="RWF45" s="292"/>
      <c r="RWG45" s="291"/>
      <c r="RWH45" s="292"/>
      <c r="RWI45" s="292"/>
      <c r="RWJ45" s="292"/>
      <c r="RWK45" s="291"/>
      <c r="RWL45" s="292"/>
      <c r="RWM45" s="292"/>
      <c r="RWN45" s="292"/>
      <c r="RWO45" s="291"/>
      <c r="RWP45" s="292"/>
      <c r="RWQ45" s="292"/>
      <c r="RWR45" s="292"/>
      <c r="RWS45" s="291"/>
      <c r="RWT45" s="292"/>
      <c r="RWU45" s="292"/>
      <c r="RWV45" s="292"/>
      <c r="RWW45" s="291"/>
      <c r="RWX45" s="292"/>
      <c r="RWY45" s="292"/>
      <c r="RWZ45" s="292"/>
      <c r="RXA45" s="291"/>
      <c r="RXB45" s="292"/>
      <c r="RXC45" s="292"/>
      <c r="RXD45" s="292"/>
      <c r="RXE45" s="291"/>
      <c r="RXF45" s="292"/>
      <c r="RXG45" s="292"/>
      <c r="RXH45" s="292"/>
      <c r="RXI45" s="291"/>
      <c r="RXJ45" s="292"/>
      <c r="RXK45" s="292"/>
      <c r="RXL45" s="292"/>
      <c r="RXM45" s="291"/>
      <c r="RXN45" s="292"/>
      <c r="RXO45" s="292"/>
      <c r="RXP45" s="292"/>
      <c r="RXQ45" s="291"/>
      <c r="RXR45" s="292"/>
      <c r="RXS45" s="292"/>
      <c r="RXT45" s="292"/>
      <c r="RXU45" s="291"/>
      <c r="RXV45" s="292"/>
      <c r="RXW45" s="292"/>
      <c r="RXX45" s="292"/>
      <c r="RXY45" s="291"/>
      <c r="RXZ45" s="292"/>
      <c r="RYA45" s="292"/>
      <c r="RYB45" s="292"/>
      <c r="RYC45" s="291"/>
      <c r="RYD45" s="292"/>
      <c r="RYE45" s="292"/>
      <c r="RYF45" s="292"/>
      <c r="RYG45" s="291"/>
      <c r="RYH45" s="292"/>
      <c r="RYI45" s="292"/>
      <c r="RYJ45" s="292"/>
      <c r="RYK45" s="291"/>
      <c r="RYL45" s="292"/>
      <c r="RYM45" s="292"/>
      <c r="RYN45" s="292"/>
      <c r="RYO45" s="291"/>
      <c r="RYP45" s="292"/>
      <c r="RYQ45" s="292"/>
      <c r="RYR45" s="292"/>
      <c r="RYS45" s="291"/>
      <c r="RYT45" s="292"/>
      <c r="RYU45" s="292"/>
      <c r="RYV45" s="292"/>
      <c r="RYW45" s="291"/>
      <c r="RYX45" s="292"/>
      <c r="RYY45" s="292"/>
      <c r="RYZ45" s="292"/>
      <c r="RZA45" s="291"/>
      <c r="RZB45" s="292"/>
      <c r="RZC45" s="292"/>
      <c r="RZD45" s="292"/>
      <c r="RZE45" s="291"/>
      <c r="RZF45" s="292"/>
      <c r="RZG45" s="292"/>
      <c r="RZH45" s="292"/>
      <c r="RZI45" s="291"/>
      <c r="RZJ45" s="292"/>
      <c r="RZK45" s="292"/>
      <c r="RZL45" s="292"/>
      <c r="RZM45" s="291"/>
      <c r="RZN45" s="292"/>
      <c r="RZO45" s="292"/>
      <c r="RZP45" s="292"/>
      <c r="RZQ45" s="291"/>
      <c r="RZR45" s="292"/>
      <c r="RZS45" s="292"/>
      <c r="RZT45" s="292"/>
      <c r="RZU45" s="291"/>
      <c r="RZV45" s="292"/>
      <c r="RZW45" s="292"/>
      <c r="RZX45" s="292"/>
      <c r="RZY45" s="291"/>
      <c r="RZZ45" s="292"/>
      <c r="SAA45" s="292"/>
      <c r="SAB45" s="292"/>
      <c r="SAC45" s="291"/>
      <c r="SAD45" s="292"/>
      <c r="SAE45" s="292"/>
      <c r="SAF45" s="292"/>
      <c r="SAG45" s="291"/>
      <c r="SAH45" s="292"/>
      <c r="SAI45" s="292"/>
      <c r="SAJ45" s="292"/>
      <c r="SAK45" s="291"/>
      <c r="SAL45" s="292"/>
      <c r="SAM45" s="292"/>
      <c r="SAN45" s="292"/>
      <c r="SAO45" s="291"/>
      <c r="SAP45" s="292"/>
      <c r="SAQ45" s="292"/>
      <c r="SAR45" s="292"/>
      <c r="SAS45" s="291"/>
      <c r="SAT45" s="292"/>
      <c r="SAU45" s="292"/>
      <c r="SAV45" s="292"/>
      <c r="SAW45" s="291"/>
      <c r="SAX45" s="292"/>
      <c r="SAY45" s="292"/>
      <c r="SAZ45" s="292"/>
      <c r="SBA45" s="291"/>
      <c r="SBB45" s="292"/>
      <c r="SBC45" s="292"/>
      <c r="SBD45" s="292"/>
      <c r="SBE45" s="291"/>
      <c r="SBF45" s="292"/>
      <c r="SBG45" s="292"/>
      <c r="SBH45" s="292"/>
      <c r="SBI45" s="291"/>
      <c r="SBJ45" s="292"/>
      <c r="SBK45" s="292"/>
      <c r="SBL45" s="292"/>
      <c r="SBM45" s="291"/>
      <c r="SBN45" s="292"/>
      <c r="SBO45" s="292"/>
      <c r="SBP45" s="292"/>
      <c r="SBQ45" s="291"/>
      <c r="SBR45" s="292"/>
      <c r="SBS45" s="292"/>
      <c r="SBT45" s="292"/>
      <c r="SBU45" s="291"/>
      <c r="SBV45" s="292"/>
      <c r="SBW45" s="292"/>
      <c r="SBX45" s="292"/>
      <c r="SBY45" s="291"/>
      <c r="SBZ45" s="292"/>
      <c r="SCA45" s="292"/>
      <c r="SCB45" s="292"/>
      <c r="SCC45" s="291"/>
      <c r="SCD45" s="292"/>
      <c r="SCE45" s="292"/>
      <c r="SCF45" s="292"/>
      <c r="SCG45" s="291"/>
      <c r="SCH45" s="292"/>
      <c r="SCI45" s="292"/>
      <c r="SCJ45" s="292"/>
      <c r="SCK45" s="291"/>
      <c r="SCL45" s="292"/>
      <c r="SCM45" s="292"/>
      <c r="SCN45" s="292"/>
      <c r="SCO45" s="291"/>
      <c r="SCP45" s="292"/>
      <c r="SCQ45" s="292"/>
      <c r="SCR45" s="292"/>
      <c r="SCS45" s="291"/>
      <c r="SCT45" s="292"/>
      <c r="SCU45" s="292"/>
      <c r="SCV45" s="292"/>
      <c r="SCW45" s="291"/>
      <c r="SCX45" s="292"/>
      <c r="SCY45" s="292"/>
      <c r="SCZ45" s="292"/>
      <c r="SDA45" s="291"/>
      <c r="SDB45" s="292"/>
      <c r="SDC45" s="292"/>
      <c r="SDD45" s="292"/>
      <c r="SDE45" s="291"/>
      <c r="SDF45" s="292"/>
      <c r="SDG45" s="292"/>
      <c r="SDH45" s="292"/>
      <c r="SDI45" s="291"/>
      <c r="SDJ45" s="292"/>
      <c r="SDK45" s="292"/>
      <c r="SDL45" s="292"/>
      <c r="SDM45" s="291"/>
      <c r="SDN45" s="292"/>
      <c r="SDO45" s="292"/>
      <c r="SDP45" s="292"/>
      <c r="SDQ45" s="291"/>
      <c r="SDR45" s="292"/>
      <c r="SDS45" s="292"/>
      <c r="SDT45" s="292"/>
      <c r="SDU45" s="291"/>
      <c r="SDV45" s="292"/>
      <c r="SDW45" s="292"/>
      <c r="SDX45" s="292"/>
      <c r="SDY45" s="291"/>
      <c r="SDZ45" s="292"/>
      <c r="SEA45" s="292"/>
      <c r="SEB45" s="292"/>
      <c r="SEC45" s="291"/>
      <c r="SED45" s="292"/>
      <c r="SEE45" s="292"/>
      <c r="SEF45" s="292"/>
      <c r="SEG45" s="291"/>
      <c r="SEH45" s="292"/>
      <c r="SEI45" s="292"/>
      <c r="SEJ45" s="292"/>
      <c r="SEK45" s="291"/>
      <c r="SEL45" s="292"/>
      <c r="SEM45" s="292"/>
      <c r="SEN45" s="292"/>
      <c r="SEO45" s="291"/>
      <c r="SEP45" s="292"/>
      <c r="SEQ45" s="292"/>
      <c r="SER45" s="292"/>
      <c r="SES45" s="291"/>
      <c r="SET45" s="292"/>
      <c r="SEU45" s="292"/>
      <c r="SEV45" s="292"/>
      <c r="SEW45" s="291"/>
      <c r="SEX45" s="292"/>
      <c r="SEY45" s="292"/>
      <c r="SEZ45" s="292"/>
      <c r="SFA45" s="291"/>
      <c r="SFB45" s="292"/>
      <c r="SFC45" s="292"/>
      <c r="SFD45" s="292"/>
      <c r="SFE45" s="291"/>
      <c r="SFF45" s="292"/>
      <c r="SFG45" s="292"/>
      <c r="SFH45" s="292"/>
      <c r="SFI45" s="291"/>
      <c r="SFJ45" s="292"/>
      <c r="SFK45" s="292"/>
      <c r="SFL45" s="292"/>
      <c r="SFM45" s="291"/>
      <c r="SFN45" s="292"/>
      <c r="SFO45" s="292"/>
      <c r="SFP45" s="292"/>
      <c r="SFQ45" s="291"/>
      <c r="SFR45" s="292"/>
      <c r="SFS45" s="292"/>
      <c r="SFT45" s="292"/>
      <c r="SFU45" s="291"/>
      <c r="SFV45" s="292"/>
      <c r="SFW45" s="292"/>
      <c r="SFX45" s="292"/>
      <c r="SFY45" s="291"/>
      <c r="SFZ45" s="292"/>
      <c r="SGA45" s="292"/>
      <c r="SGB45" s="292"/>
      <c r="SGC45" s="291"/>
      <c r="SGD45" s="292"/>
      <c r="SGE45" s="292"/>
      <c r="SGF45" s="292"/>
      <c r="SGG45" s="291"/>
      <c r="SGH45" s="292"/>
      <c r="SGI45" s="292"/>
      <c r="SGJ45" s="292"/>
      <c r="SGK45" s="291"/>
      <c r="SGL45" s="292"/>
      <c r="SGM45" s="292"/>
      <c r="SGN45" s="292"/>
      <c r="SGO45" s="291"/>
      <c r="SGP45" s="292"/>
      <c r="SGQ45" s="292"/>
      <c r="SGR45" s="292"/>
      <c r="SGS45" s="291"/>
      <c r="SGT45" s="292"/>
      <c r="SGU45" s="292"/>
      <c r="SGV45" s="292"/>
      <c r="SGW45" s="291"/>
      <c r="SGX45" s="292"/>
      <c r="SGY45" s="292"/>
      <c r="SGZ45" s="292"/>
      <c r="SHA45" s="291"/>
      <c r="SHB45" s="292"/>
      <c r="SHC45" s="292"/>
      <c r="SHD45" s="292"/>
      <c r="SHE45" s="291"/>
      <c r="SHF45" s="292"/>
      <c r="SHG45" s="292"/>
      <c r="SHH45" s="292"/>
      <c r="SHI45" s="291"/>
      <c r="SHJ45" s="292"/>
      <c r="SHK45" s="292"/>
      <c r="SHL45" s="292"/>
      <c r="SHM45" s="291"/>
      <c r="SHN45" s="292"/>
      <c r="SHO45" s="292"/>
      <c r="SHP45" s="292"/>
      <c r="SHQ45" s="291"/>
      <c r="SHR45" s="292"/>
      <c r="SHS45" s="292"/>
      <c r="SHT45" s="292"/>
      <c r="SHU45" s="291"/>
      <c r="SHV45" s="292"/>
      <c r="SHW45" s="292"/>
      <c r="SHX45" s="292"/>
      <c r="SHY45" s="291"/>
      <c r="SHZ45" s="292"/>
      <c r="SIA45" s="292"/>
      <c r="SIB45" s="292"/>
      <c r="SIC45" s="291"/>
      <c r="SID45" s="292"/>
      <c r="SIE45" s="292"/>
      <c r="SIF45" s="292"/>
      <c r="SIG45" s="291"/>
      <c r="SIH45" s="292"/>
      <c r="SII45" s="292"/>
      <c r="SIJ45" s="292"/>
      <c r="SIK45" s="291"/>
      <c r="SIL45" s="292"/>
      <c r="SIM45" s="292"/>
      <c r="SIN45" s="292"/>
      <c r="SIO45" s="291"/>
      <c r="SIP45" s="292"/>
      <c r="SIQ45" s="292"/>
      <c r="SIR45" s="292"/>
      <c r="SIS45" s="291"/>
      <c r="SIT45" s="292"/>
      <c r="SIU45" s="292"/>
      <c r="SIV45" s="292"/>
      <c r="SIW45" s="291"/>
      <c r="SIX45" s="292"/>
      <c r="SIY45" s="292"/>
      <c r="SIZ45" s="292"/>
      <c r="SJA45" s="291"/>
      <c r="SJB45" s="292"/>
      <c r="SJC45" s="292"/>
      <c r="SJD45" s="292"/>
      <c r="SJE45" s="291"/>
      <c r="SJF45" s="292"/>
      <c r="SJG45" s="292"/>
      <c r="SJH45" s="292"/>
      <c r="SJI45" s="291"/>
      <c r="SJJ45" s="292"/>
      <c r="SJK45" s="292"/>
      <c r="SJL45" s="292"/>
      <c r="SJM45" s="291"/>
      <c r="SJN45" s="292"/>
      <c r="SJO45" s="292"/>
      <c r="SJP45" s="292"/>
      <c r="SJQ45" s="291"/>
      <c r="SJR45" s="292"/>
      <c r="SJS45" s="292"/>
      <c r="SJT45" s="292"/>
      <c r="SJU45" s="291"/>
      <c r="SJV45" s="292"/>
      <c r="SJW45" s="292"/>
      <c r="SJX45" s="292"/>
      <c r="SJY45" s="291"/>
      <c r="SJZ45" s="292"/>
      <c r="SKA45" s="292"/>
      <c r="SKB45" s="292"/>
      <c r="SKC45" s="291"/>
      <c r="SKD45" s="292"/>
      <c r="SKE45" s="292"/>
      <c r="SKF45" s="292"/>
      <c r="SKG45" s="291"/>
      <c r="SKH45" s="292"/>
      <c r="SKI45" s="292"/>
      <c r="SKJ45" s="292"/>
      <c r="SKK45" s="291"/>
      <c r="SKL45" s="292"/>
      <c r="SKM45" s="292"/>
      <c r="SKN45" s="292"/>
      <c r="SKO45" s="291"/>
      <c r="SKP45" s="292"/>
      <c r="SKQ45" s="292"/>
      <c r="SKR45" s="292"/>
      <c r="SKS45" s="291"/>
      <c r="SKT45" s="292"/>
      <c r="SKU45" s="292"/>
      <c r="SKV45" s="292"/>
      <c r="SKW45" s="291"/>
      <c r="SKX45" s="292"/>
      <c r="SKY45" s="292"/>
      <c r="SKZ45" s="292"/>
      <c r="SLA45" s="291"/>
      <c r="SLB45" s="292"/>
      <c r="SLC45" s="292"/>
      <c r="SLD45" s="292"/>
      <c r="SLE45" s="291"/>
      <c r="SLF45" s="292"/>
      <c r="SLG45" s="292"/>
      <c r="SLH45" s="292"/>
      <c r="SLI45" s="291"/>
      <c r="SLJ45" s="292"/>
      <c r="SLK45" s="292"/>
      <c r="SLL45" s="292"/>
      <c r="SLM45" s="291"/>
      <c r="SLN45" s="292"/>
      <c r="SLO45" s="292"/>
      <c r="SLP45" s="292"/>
      <c r="SLQ45" s="291"/>
      <c r="SLR45" s="292"/>
      <c r="SLS45" s="292"/>
      <c r="SLT45" s="292"/>
      <c r="SLU45" s="291"/>
      <c r="SLV45" s="292"/>
      <c r="SLW45" s="292"/>
      <c r="SLX45" s="292"/>
      <c r="SLY45" s="291"/>
      <c r="SLZ45" s="292"/>
      <c r="SMA45" s="292"/>
      <c r="SMB45" s="292"/>
      <c r="SMC45" s="291"/>
      <c r="SMD45" s="292"/>
      <c r="SME45" s="292"/>
      <c r="SMF45" s="292"/>
      <c r="SMG45" s="291"/>
      <c r="SMH45" s="292"/>
      <c r="SMI45" s="292"/>
      <c r="SMJ45" s="292"/>
      <c r="SMK45" s="291"/>
      <c r="SML45" s="292"/>
      <c r="SMM45" s="292"/>
      <c r="SMN45" s="292"/>
      <c r="SMO45" s="291"/>
      <c r="SMP45" s="292"/>
      <c r="SMQ45" s="292"/>
      <c r="SMR45" s="292"/>
      <c r="SMS45" s="291"/>
      <c r="SMT45" s="292"/>
      <c r="SMU45" s="292"/>
      <c r="SMV45" s="292"/>
      <c r="SMW45" s="291"/>
      <c r="SMX45" s="292"/>
      <c r="SMY45" s="292"/>
      <c r="SMZ45" s="292"/>
      <c r="SNA45" s="291"/>
      <c r="SNB45" s="292"/>
      <c r="SNC45" s="292"/>
      <c r="SND45" s="292"/>
      <c r="SNE45" s="291"/>
      <c r="SNF45" s="292"/>
      <c r="SNG45" s="292"/>
      <c r="SNH45" s="292"/>
      <c r="SNI45" s="291"/>
      <c r="SNJ45" s="292"/>
      <c r="SNK45" s="292"/>
      <c r="SNL45" s="292"/>
      <c r="SNM45" s="291"/>
      <c r="SNN45" s="292"/>
      <c r="SNO45" s="292"/>
      <c r="SNP45" s="292"/>
      <c r="SNQ45" s="291"/>
      <c r="SNR45" s="292"/>
      <c r="SNS45" s="292"/>
      <c r="SNT45" s="292"/>
      <c r="SNU45" s="291"/>
      <c r="SNV45" s="292"/>
      <c r="SNW45" s="292"/>
      <c r="SNX45" s="292"/>
      <c r="SNY45" s="291"/>
      <c r="SNZ45" s="292"/>
      <c r="SOA45" s="292"/>
      <c r="SOB45" s="292"/>
      <c r="SOC45" s="291"/>
      <c r="SOD45" s="292"/>
      <c r="SOE45" s="292"/>
      <c r="SOF45" s="292"/>
      <c r="SOG45" s="291"/>
      <c r="SOH45" s="292"/>
      <c r="SOI45" s="292"/>
      <c r="SOJ45" s="292"/>
      <c r="SOK45" s="291"/>
      <c r="SOL45" s="292"/>
      <c r="SOM45" s="292"/>
      <c r="SON45" s="292"/>
      <c r="SOO45" s="291"/>
      <c r="SOP45" s="292"/>
      <c r="SOQ45" s="292"/>
      <c r="SOR45" s="292"/>
      <c r="SOS45" s="291"/>
      <c r="SOT45" s="292"/>
      <c r="SOU45" s="292"/>
      <c r="SOV45" s="292"/>
      <c r="SOW45" s="291"/>
      <c r="SOX45" s="292"/>
      <c r="SOY45" s="292"/>
      <c r="SOZ45" s="292"/>
      <c r="SPA45" s="291"/>
      <c r="SPB45" s="292"/>
      <c r="SPC45" s="292"/>
      <c r="SPD45" s="292"/>
      <c r="SPE45" s="291"/>
      <c r="SPF45" s="292"/>
      <c r="SPG45" s="292"/>
      <c r="SPH45" s="292"/>
      <c r="SPI45" s="291"/>
      <c r="SPJ45" s="292"/>
      <c r="SPK45" s="292"/>
      <c r="SPL45" s="292"/>
      <c r="SPM45" s="291"/>
      <c r="SPN45" s="292"/>
      <c r="SPO45" s="292"/>
      <c r="SPP45" s="292"/>
      <c r="SPQ45" s="291"/>
      <c r="SPR45" s="292"/>
      <c r="SPS45" s="292"/>
      <c r="SPT45" s="292"/>
      <c r="SPU45" s="291"/>
      <c r="SPV45" s="292"/>
      <c r="SPW45" s="292"/>
      <c r="SPX45" s="292"/>
      <c r="SPY45" s="291"/>
      <c r="SPZ45" s="292"/>
      <c r="SQA45" s="292"/>
      <c r="SQB45" s="292"/>
      <c r="SQC45" s="291"/>
      <c r="SQD45" s="292"/>
      <c r="SQE45" s="292"/>
      <c r="SQF45" s="292"/>
      <c r="SQG45" s="291"/>
      <c r="SQH45" s="292"/>
      <c r="SQI45" s="292"/>
      <c r="SQJ45" s="292"/>
      <c r="SQK45" s="291"/>
      <c r="SQL45" s="292"/>
      <c r="SQM45" s="292"/>
      <c r="SQN45" s="292"/>
      <c r="SQO45" s="291"/>
      <c r="SQP45" s="292"/>
      <c r="SQQ45" s="292"/>
      <c r="SQR45" s="292"/>
      <c r="SQS45" s="291"/>
      <c r="SQT45" s="292"/>
      <c r="SQU45" s="292"/>
      <c r="SQV45" s="292"/>
      <c r="SQW45" s="291"/>
      <c r="SQX45" s="292"/>
      <c r="SQY45" s="292"/>
      <c r="SQZ45" s="292"/>
      <c r="SRA45" s="291"/>
      <c r="SRB45" s="292"/>
      <c r="SRC45" s="292"/>
      <c r="SRD45" s="292"/>
      <c r="SRE45" s="291"/>
      <c r="SRF45" s="292"/>
      <c r="SRG45" s="292"/>
      <c r="SRH45" s="292"/>
      <c r="SRI45" s="291"/>
      <c r="SRJ45" s="292"/>
      <c r="SRK45" s="292"/>
      <c r="SRL45" s="292"/>
      <c r="SRM45" s="291"/>
      <c r="SRN45" s="292"/>
      <c r="SRO45" s="292"/>
      <c r="SRP45" s="292"/>
      <c r="SRQ45" s="291"/>
      <c r="SRR45" s="292"/>
      <c r="SRS45" s="292"/>
      <c r="SRT45" s="292"/>
      <c r="SRU45" s="291"/>
      <c r="SRV45" s="292"/>
      <c r="SRW45" s="292"/>
      <c r="SRX45" s="292"/>
      <c r="SRY45" s="291"/>
      <c r="SRZ45" s="292"/>
      <c r="SSA45" s="292"/>
      <c r="SSB45" s="292"/>
      <c r="SSC45" s="291"/>
      <c r="SSD45" s="292"/>
      <c r="SSE45" s="292"/>
      <c r="SSF45" s="292"/>
      <c r="SSG45" s="291"/>
      <c r="SSH45" s="292"/>
      <c r="SSI45" s="292"/>
      <c r="SSJ45" s="292"/>
      <c r="SSK45" s="291"/>
      <c r="SSL45" s="292"/>
      <c r="SSM45" s="292"/>
      <c r="SSN45" s="292"/>
      <c r="SSO45" s="291"/>
      <c r="SSP45" s="292"/>
      <c r="SSQ45" s="292"/>
      <c r="SSR45" s="292"/>
      <c r="SSS45" s="291"/>
      <c r="SST45" s="292"/>
      <c r="SSU45" s="292"/>
      <c r="SSV45" s="292"/>
      <c r="SSW45" s="291"/>
      <c r="SSX45" s="292"/>
      <c r="SSY45" s="292"/>
      <c r="SSZ45" s="292"/>
      <c r="STA45" s="291"/>
      <c r="STB45" s="292"/>
      <c r="STC45" s="292"/>
      <c r="STD45" s="292"/>
      <c r="STE45" s="291"/>
      <c r="STF45" s="292"/>
      <c r="STG45" s="292"/>
      <c r="STH45" s="292"/>
      <c r="STI45" s="291"/>
      <c r="STJ45" s="292"/>
      <c r="STK45" s="292"/>
      <c r="STL45" s="292"/>
      <c r="STM45" s="291"/>
      <c r="STN45" s="292"/>
      <c r="STO45" s="292"/>
      <c r="STP45" s="292"/>
      <c r="STQ45" s="291"/>
      <c r="STR45" s="292"/>
      <c r="STS45" s="292"/>
      <c r="STT45" s="292"/>
      <c r="STU45" s="291"/>
      <c r="STV45" s="292"/>
      <c r="STW45" s="292"/>
      <c r="STX45" s="292"/>
      <c r="STY45" s="291"/>
      <c r="STZ45" s="292"/>
      <c r="SUA45" s="292"/>
      <c r="SUB45" s="292"/>
      <c r="SUC45" s="291"/>
      <c r="SUD45" s="292"/>
      <c r="SUE45" s="292"/>
      <c r="SUF45" s="292"/>
      <c r="SUG45" s="291"/>
      <c r="SUH45" s="292"/>
      <c r="SUI45" s="292"/>
      <c r="SUJ45" s="292"/>
      <c r="SUK45" s="291"/>
      <c r="SUL45" s="292"/>
      <c r="SUM45" s="292"/>
      <c r="SUN45" s="292"/>
      <c r="SUO45" s="291"/>
      <c r="SUP45" s="292"/>
      <c r="SUQ45" s="292"/>
      <c r="SUR45" s="292"/>
      <c r="SUS45" s="291"/>
      <c r="SUT45" s="292"/>
      <c r="SUU45" s="292"/>
      <c r="SUV45" s="292"/>
      <c r="SUW45" s="291"/>
      <c r="SUX45" s="292"/>
      <c r="SUY45" s="292"/>
      <c r="SUZ45" s="292"/>
      <c r="SVA45" s="291"/>
      <c r="SVB45" s="292"/>
      <c r="SVC45" s="292"/>
      <c r="SVD45" s="292"/>
      <c r="SVE45" s="291"/>
      <c r="SVF45" s="292"/>
      <c r="SVG45" s="292"/>
      <c r="SVH45" s="292"/>
      <c r="SVI45" s="291"/>
      <c r="SVJ45" s="292"/>
      <c r="SVK45" s="292"/>
      <c r="SVL45" s="292"/>
      <c r="SVM45" s="291"/>
      <c r="SVN45" s="292"/>
      <c r="SVO45" s="292"/>
      <c r="SVP45" s="292"/>
      <c r="SVQ45" s="291"/>
      <c r="SVR45" s="292"/>
      <c r="SVS45" s="292"/>
      <c r="SVT45" s="292"/>
      <c r="SVU45" s="291"/>
      <c r="SVV45" s="292"/>
      <c r="SVW45" s="292"/>
      <c r="SVX45" s="292"/>
      <c r="SVY45" s="291"/>
      <c r="SVZ45" s="292"/>
      <c r="SWA45" s="292"/>
      <c r="SWB45" s="292"/>
      <c r="SWC45" s="291"/>
      <c r="SWD45" s="292"/>
      <c r="SWE45" s="292"/>
      <c r="SWF45" s="292"/>
      <c r="SWG45" s="291"/>
      <c r="SWH45" s="292"/>
      <c r="SWI45" s="292"/>
      <c r="SWJ45" s="292"/>
      <c r="SWK45" s="291"/>
      <c r="SWL45" s="292"/>
      <c r="SWM45" s="292"/>
      <c r="SWN45" s="292"/>
      <c r="SWO45" s="291"/>
      <c r="SWP45" s="292"/>
      <c r="SWQ45" s="292"/>
      <c r="SWR45" s="292"/>
      <c r="SWS45" s="291"/>
      <c r="SWT45" s="292"/>
      <c r="SWU45" s="292"/>
      <c r="SWV45" s="292"/>
      <c r="SWW45" s="291"/>
      <c r="SWX45" s="292"/>
      <c r="SWY45" s="292"/>
      <c r="SWZ45" s="292"/>
      <c r="SXA45" s="291"/>
      <c r="SXB45" s="292"/>
      <c r="SXC45" s="292"/>
      <c r="SXD45" s="292"/>
      <c r="SXE45" s="291"/>
      <c r="SXF45" s="292"/>
      <c r="SXG45" s="292"/>
      <c r="SXH45" s="292"/>
      <c r="SXI45" s="291"/>
      <c r="SXJ45" s="292"/>
      <c r="SXK45" s="292"/>
      <c r="SXL45" s="292"/>
      <c r="SXM45" s="291"/>
      <c r="SXN45" s="292"/>
      <c r="SXO45" s="292"/>
      <c r="SXP45" s="292"/>
      <c r="SXQ45" s="291"/>
      <c r="SXR45" s="292"/>
      <c r="SXS45" s="292"/>
      <c r="SXT45" s="292"/>
      <c r="SXU45" s="291"/>
      <c r="SXV45" s="292"/>
      <c r="SXW45" s="292"/>
      <c r="SXX45" s="292"/>
      <c r="SXY45" s="291"/>
      <c r="SXZ45" s="292"/>
      <c r="SYA45" s="292"/>
      <c r="SYB45" s="292"/>
      <c r="SYC45" s="291"/>
      <c r="SYD45" s="292"/>
      <c r="SYE45" s="292"/>
      <c r="SYF45" s="292"/>
      <c r="SYG45" s="291"/>
      <c r="SYH45" s="292"/>
      <c r="SYI45" s="292"/>
      <c r="SYJ45" s="292"/>
      <c r="SYK45" s="291"/>
      <c r="SYL45" s="292"/>
      <c r="SYM45" s="292"/>
      <c r="SYN45" s="292"/>
      <c r="SYO45" s="291"/>
      <c r="SYP45" s="292"/>
      <c r="SYQ45" s="292"/>
      <c r="SYR45" s="292"/>
      <c r="SYS45" s="291"/>
      <c r="SYT45" s="292"/>
      <c r="SYU45" s="292"/>
      <c r="SYV45" s="292"/>
      <c r="SYW45" s="291"/>
      <c r="SYX45" s="292"/>
      <c r="SYY45" s="292"/>
      <c r="SYZ45" s="292"/>
      <c r="SZA45" s="291"/>
      <c r="SZB45" s="292"/>
      <c r="SZC45" s="292"/>
      <c r="SZD45" s="292"/>
      <c r="SZE45" s="291"/>
      <c r="SZF45" s="292"/>
      <c r="SZG45" s="292"/>
      <c r="SZH45" s="292"/>
      <c r="SZI45" s="291"/>
      <c r="SZJ45" s="292"/>
      <c r="SZK45" s="292"/>
      <c r="SZL45" s="292"/>
      <c r="SZM45" s="291"/>
      <c r="SZN45" s="292"/>
      <c r="SZO45" s="292"/>
      <c r="SZP45" s="292"/>
      <c r="SZQ45" s="291"/>
      <c r="SZR45" s="292"/>
      <c r="SZS45" s="292"/>
      <c r="SZT45" s="292"/>
      <c r="SZU45" s="291"/>
      <c r="SZV45" s="292"/>
      <c r="SZW45" s="292"/>
      <c r="SZX45" s="292"/>
      <c r="SZY45" s="291"/>
      <c r="SZZ45" s="292"/>
      <c r="TAA45" s="292"/>
      <c r="TAB45" s="292"/>
      <c r="TAC45" s="291"/>
      <c r="TAD45" s="292"/>
      <c r="TAE45" s="292"/>
      <c r="TAF45" s="292"/>
      <c r="TAG45" s="291"/>
      <c r="TAH45" s="292"/>
      <c r="TAI45" s="292"/>
      <c r="TAJ45" s="292"/>
      <c r="TAK45" s="291"/>
      <c r="TAL45" s="292"/>
      <c r="TAM45" s="292"/>
      <c r="TAN45" s="292"/>
      <c r="TAO45" s="291"/>
      <c r="TAP45" s="292"/>
      <c r="TAQ45" s="292"/>
      <c r="TAR45" s="292"/>
      <c r="TAS45" s="291"/>
      <c r="TAT45" s="292"/>
      <c r="TAU45" s="292"/>
      <c r="TAV45" s="292"/>
      <c r="TAW45" s="291"/>
      <c r="TAX45" s="292"/>
      <c r="TAY45" s="292"/>
      <c r="TAZ45" s="292"/>
      <c r="TBA45" s="291"/>
      <c r="TBB45" s="292"/>
      <c r="TBC45" s="292"/>
      <c r="TBD45" s="292"/>
      <c r="TBE45" s="291"/>
      <c r="TBF45" s="292"/>
      <c r="TBG45" s="292"/>
      <c r="TBH45" s="292"/>
      <c r="TBI45" s="291"/>
      <c r="TBJ45" s="292"/>
      <c r="TBK45" s="292"/>
      <c r="TBL45" s="292"/>
      <c r="TBM45" s="291"/>
      <c r="TBN45" s="292"/>
      <c r="TBO45" s="292"/>
      <c r="TBP45" s="292"/>
      <c r="TBQ45" s="291"/>
      <c r="TBR45" s="292"/>
      <c r="TBS45" s="292"/>
      <c r="TBT45" s="292"/>
      <c r="TBU45" s="291"/>
      <c r="TBV45" s="292"/>
      <c r="TBW45" s="292"/>
      <c r="TBX45" s="292"/>
      <c r="TBY45" s="291"/>
      <c r="TBZ45" s="292"/>
      <c r="TCA45" s="292"/>
      <c r="TCB45" s="292"/>
      <c r="TCC45" s="291"/>
      <c r="TCD45" s="292"/>
      <c r="TCE45" s="292"/>
      <c r="TCF45" s="292"/>
      <c r="TCG45" s="291"/>
      <c r="TCH45" s="292"/>
      <c r="TCI45" s="292"/>
      <c r="TCJ45" s="292"/>
      <c r="TCK45" s="291"/>
      <c r="TCL45" s="292"/>
      <c r="TCM45" s="292"/>
      <c r="TCN45" s="292"/>
      <c r="TCO45" s="291"/>
      <c r="TCP45" s="292"/>
      <c r="TCQ45" s="292"/>
      <c r="TCR45" s="292"/>
      <c r="TCS45" s="291"/>
      <c r="TCT45" s="292"/>
      <c r="TCU45" s="292"/>
      <c r="TCV45" s="292"/>
      <c r="TCW45" s="291"/>
      <c r="TCX45" s="292"/>
      <c r="TCY45" s="292"/>
      <c r="TCZ45" s="292"/>
      <c r="TDA45" s="291"/>
      <c r="TDB45" s="292"/>
      <c r="TDC45" s="292"/>
      <c r="TDD45" s="292"/>
      <c r="TDE45" s="291"/>
      <c r="TDF45" s="292"/>
      <c r="TDG45" s="292"/>
      <c r="TDH45" s="292"/>
      <c r="TDI45" s="291"/>
      <c r="TDJ45" s="292"/>
      <c r="TDK45" s="292"/>
      <c r="TDL45" s="292"/>
      <c r="TDM45" s="291"/>
      <c r="TDN45" s="292"/>
      <c r="TDO45" s="292"/>
      <c r="TDP45" s="292"/>
      <c r="TDQ45" s="291"/>
      <c r="TDR45" s="292"/>
      <c r="TDS45" s="292"/>
      <c r="TDT45" s="292"/>
      <c r="TDU45" s="291"/>
      <c r="TDV45" s="292"/>
      <c r="TDW45" s="292"/>
      <c r="TDX45" s="292"/>
      <c r="TDY45" s="291"/>
      <c r="TDZ45" s="292"/>
      <c r="TEA45" s="292"/>
      <c r="TEB45" s="292"/>
      <c r="TEC45" s="291"/>
      <c r="TED45" s="292"/>
      <c r="TEE45" s="292"/>
      <c r="TEF45" s="292"/>
      <c r="TEG45" s="291"/>
      <c r="TEH45" s="292"/>
      <c r="TEI45" s="292"/>
      <c r="TEJ45" s="292"/>
      <c r="TEK45" s="291"/>
      <c r="TEL45" s="292"/>
      <c r="TEM45" s="292"/>
      <c r="TEN45" s="292"/>
      <c r="TEO45" s="291"/>
      <c r="TEP45" s="292"/>
      <c r="TEQ45" s="292"/>
      <c r="TER45" s="292"/>
      <c r="TES45" s="291"/>
      <c r="TET45" s="292"/>
      <c r="TEU45" s="292"/>
      <c r="TEV45" s="292"/>
      <c r="TEW45" s="291"/>
      <c r="TEX45" s="292"/>
      <c r="TEY45" s="292"/>
      <c r="TEZ45" s="292"/>
      <c r="TFA45" s="291"/>
      <c r="TFB45" s="292"/>
      <c r="TFC45" s="292"/>
      <c r="TFD45" s="292"/>
      <c r="TFE45" s="291"/>
      <c r="TFF45" s="292"/>
      <c r="TFG45" s="292"/>
      <c r="TFH45" s="292"/>
      <c r="TFI45" s="291"/>
      <c r="TFJ45" s="292"/>
      <c r="TFK45" s="292"/>
      <c r="TFL45" s="292"/>
      <c r="TFM45" s="291"/>
      <c r="TFN45" s="292"/>
      <c r="TFO45" s="292"/>
      <c r="TFP45" s="292"/>
      <c r="TFQ45" s="291"/>
      <c r="TFR45" s="292"/>
      <c r="TFS45" s="292"/>
      <c r="TFT45" s="292"/>
      <c r="TFU45" s="291"/>
      <c r="TFV45" s="292"/>
      <c r="TFW45" s="292"/>
      <c r="TFX45" s="292"/>
      <c r="TFY45" s="291"/>
      <c r="TFZ45" s="292"/>
      <c r="TGA45" s="292"/>
      <c r="TGB45" s="292"/>
      <c r="TGC45" s="291"/>
      <c r="TGD45" s="292"/>
      <c r="TGE45" s="292"/>
      <c r="TGF45" s="292"/>
      <c r="TGG45" s="291"/>
      <c r="TGH45" s="292"/>
      <c r="TGI45" s="292"/>
      <c r="TGJ45" s="292"/>
      <c r="TGK45" s="291"/>
      <c r="TGL45" s="292"/>
      <c r="TGM45" s="292"/>
      <c r="TGN45" s="292"/>
      <c r="TGO45" s="291"/>
      <c r="TGP45" s="292"/>
      <c r="TGQ45" s="292"/>
      <c r="TGR45" s="292"/>
      <c r="TGS45" s="291"/>
      <c r="TGT45" s="292"/>
      <c r="TGU45" s="292"/>
      <c r="TGV45" s="292"/>
      <c r="TGW45" s="291"/>
      <c r="TGX45" s="292"/>
      <c r="TGY45" s="292"/>
      <c r="TGZ45" s="292"/>
      <c r="THA45" s="291"/>
      <c r="THB45" s="292"/>
      <c r="THC45" s="292"/>
      <c r="THD45" s="292"/>
      <c r="THE45" s="291"/>
      <c r="THF45" s="292"/>
      <c r="THG45" s="292"/>
      <c r="THH45" s="292"/>
      <c r="THI45" s="291"/>
      <c r="THJ45" s="292"/>
      <c r="THK45" s="292"/>
      <c r="THL45" s="292"/>
      <c r="THM45" s="291"/>
      <c r="THN45" s="292"/>
      <c r="THO45" s="292"/>
      <c r="THP45" s="292"/>
      <c r="THQ45" s="291"/>
      <c r="THR45" s="292"/>
      <c r="THS45" s="292"/>
      <c r="THT45" s="292"/>
      <c r="THU45" s="291"/>
      <c r="THV45" s="292"/>
      <c r="THW45" s="292"/>
      <c r="THX45" s="292"/>
      <c r="THY45" s="291"/>
      <c r="THZ45" s="292"/>
      <c r="TIA45" s="292"/>
      <c r="TIB45" s="292"/>
      <c r="TIC45" s="291"/>
      <c r="TID45" s="292"/>
      <c r="TIE45" s="292"/>
      <c r="TIF45" s="292"/>
      <c r="TIG45" s="291"/>
      <c r="TIH45" s="292"/>
      <c r="TII45" s="292"/>
      <c r="TIJ45" s="292"/>
      <c r="TIK45" s="291"/>
      <c r="TIL45" s="292"/>
      <c r="TIM45" s="292"/>
      <c r="TIN45" s="292"/>
      <c r="TIO45" s="291"/>
      <c r="TIP45" s="292"/>
      <c r="TIQ45" s="292"/>
      <c r="TIR45" s="292"/>
      <c r="TIS45" s="291"/>
      <c r="TIT45" s="292"/>
      <c r="TIU45" s="292"/>
      <c r="TIV45" s="292"/>
      <c r="TIW45" s="291"/>
      <c r="TIX45" s="292"/>
      <c r="TIY45" s="292"/>
      <c r="TIZ45" s="292"/>
      <c r="TJA45" s="291"/>
      <c r="TJB45" s="292"/>
      <c r="TJC45" s="292"/>
      <c r="TJD45" s="292"/>
      <c r="TJE45" s="291"/>
      <c r="TJF45" s="292"/>
      <c r="TJG45" s="292"/>
      <c r="TJH45" s="292"/>
      <c r="TJI45" s="291"/>
      <c r="TJJ45" s="292"/>
      <c r="TJK45" s="292"/>
      <c r="TJL45" s="292"/>
      <c r="TJM45" s="291"/>
      <c r="TJN45" s="292"/>
      <c r="TJO45" s="292"/>
      <c r="TJP45" s="292"/>
      <c r="TJQ45" s="291"/>
      <c r="TJR45" s="292"/>
      <c r="TJS45" s="292"/>
      <c r="TJT45" s="292"/>
      <c r="TJU45" s="291"/>
      <c r="TJV45" s="292"/>
      <c r="TJW45" s="292"/>
      <c r="TJX45" s="292"/>
      <c r="TJY45" s="291"/>
      <c r="TJZ45" s="292"/>
      <c r="TKA45" s="292"/>
      <c r="TKB45" s="292"/>
      <c r="TKC45" s="291"/>
      <c r="TKD45" s="292"/>
      <c r="TKE45" s="292"/>
      <c r="TKF45" s="292"/>
      <c r="TKG45" s="291"/>
      <c r="TKH45" s="292"/>
      <c r="TKI45" s="292"/>
      <c r="TKJ45" s="292"/>
      <c r="TKK45" s="291"/>
      <c r="TKL45" s="292"/>
      <c r="TKM45" s="292"/>
      <c r="TKN45" s="292"/>
      <c r="TKO45" s="291"/>
      <c r="TKP45" s="292"/>
      <c r="TKQ45" s="292"/>
      <c r="TKR45" s="292"/>
      <c r="TKS45" s="291"/>
      <c r="TKT45" s="292"/>
      <c r="TKU45" s="292"/>
      <c r="TKV45" s="292"/>
      <c r="TKW45" s="291"/>
      <c r="TKX45" s="292"/>
      <c r="TKY45" s="292"/>
      <c r="TKZ45" s="292"/>
      <c r="TLA45" s="291"/>
      <c r="TLB45" s="292"/>
      <c r="TLC45" s="292"/>
      <c r="TLD45" s="292"/>
      <c r="TLE45" s="291"/>
      <c r="TLF45" s="292"/>
      <c r="TLG45" s="292"/>
      <c r="TLH45" s="292"/>
      <c r="TLI45" s="291"/>
      <c r="TLJ45" s="292"/>
      <c r="TLK45" s="292"/>
      <c r="TLL45" s="292"/>
      <c r="TLM45" s="291"/>
      <c r="TLN45" s="292"/>
      <c r="TLO45" s="292"/>
      <c r="TLP45" s="292"/>
      <c r="TLQ45" s="291"/>
      <c r="TLR45" s="292"/>
      <c r="TLS45" s="292"/>
      <c r="TLT45" s="292"/>
      <c r="TLU45" s="291"/>
      <c r="TLV45" s="292"/>
      <c r="TLW45" s="292"/>
      <c r="TLX45" s="292"/>
      <c r="TLY45" s="291"/>
      <c r="TLZ45" s="292"/>
      <c r="TMA45" s="292"/>
      <c r="TMB45" s="292"/>
      <c r="TMC45" s="291"/>
      <c r="TMD45" s="292"/>
      <c r="TME45" s="292"/>
      <c r="TMF45" s="292"/>
      <c r="TMG45" s="291"/>
      <c r="TMH45" s="292"/>
      <c r="TMI45" s="292"/>
      <c r="TMJ45" s="292"/>
      <c r="TMK45" s="291"/>
      <c r="TML45" s="292"/>
      <c r="TMM45" s="292"/>
      <c r="TMN45" s="292"/>
      <c r="TMO45" s="291"/>
      <c r="TMP45" s="292"/>
      <c r="TMQ45" s="292"/>
      <c r="TMR45" s="292"/>
      <c r="TMS45" s="291"/>
      <c r="TMT45" s="292"/>
      <c r="TMU45" s="292"/>
      <c r="TMV45" s="292"/>
      <c r="TMW45" s="291"/>
      <c r="TMX45" s="292"/>
      <c r="TMY45" s="292"/>
      <c r="TMZ45" s="292"/>
      <c r="TNA45" s="291"/>
      <c r="TNB45" s="292"/>
      <c r="TNC45" s="292"/>
      <c r="TND45" s="292"/>
      <c r="TNE45" s="291"/>
      <c r="TNF45" s="292"/>
      <c r="TNG45" s="292"/>
      <c r="TNH45" s="292"/>
      <c r="TNI45" s="291"/>
      <c r="TNJ45" s="292"/>
      <c r="TNK45" s="292"/>
      <c r="TNL45" s="292"/>
      <c r="TNM45" s="291"/>
      <c r="TNN45" s="292"/>
      <c r="TNO45" s="292"/>
      <c r="TNP45" s="292"/>
      <c r="TNQ45" s="291"/>
      <c r="TNR45" s="292"/>
      <c r="TNS45" s="292"/>
      <c r="TNT45" s="292"/>
      <c r="TNU45" s="291"/>
      <c r="TNV45" s="292"/>
      <c r="TNW45" s="292"/>
      <c r="TNX45" s="292"/>
      <c r="TNY45" s="291"/>
      <c r="TNZ45" s="292"/>
      <c r="TOA45" s="292"/>
      <c r="TOB45" s="292"/>
      <c r="TOC45" s="291"/>
      <c r="TOD45" s="292"/>
      <c r="TOE45" s="292"/>
      <c r="TOF45" s="292"/>
      <c r="TOG45" s="291"/>
      <c r="TOH45" s="292"/>
      <c r="TOI45" s="292"/>
      <c r="TOJ45" s="292"/>
      <c r="TOK45" s="291"/>
      <c r="TOL45" s="292"/>
      <c r="TOM45" s="292"/>
      <c r="TON45" s="292"/>
      <c r="TOO45" s="291"/>
      <c r="TOP45" s="292"/>
      <c r="TOQ45" s="292"/>
      <c r="TOR45" s="292"/>
      <c r="TOS45" s="291"/>
      <c r="TOT45" s="292"/>
      <c r="TOU45" s="292"/>
      <c r="TOV45" s="292"/>
      <c r="TOW45" s="291"/>
      <c r="TOX45" s="292"/>
      <c r="TOY45" s="292"/>
      <c r="TOZ45" s="292"/>
      <c r="TPA45" s="291"/>
      <c r="TPB45" s="292"/>
      <c r="TPC45" s="292"/>
      <c r="TPD45" s="292"/>
      <c r="TPE45" s="291"/>
      <c r="TPF45" s="292"/>
      <c r="TPG45" s="292"/>
      <c r="TPH45" s="292"/>
      <c r="TPI45" s="291"/>
      <c r="TPJ45" s="292"/>
      <c r="TPK45" s="292"/>
      <c r="TPL45" s="292"/>
      <c r="TPM45" s="291"/>
      <c r="TPN45" s="292"/>
      <c r="TPO45" s="292"/>
      <c r="TPP45" s="292"/>
      <c r="TPQ45" s="291"/>
      <c r="TPR45" s="292"/>
      <c r="TPS45" s="292"/>
      <c r="TPT45" s="292"/>
      <c r="TPU45" s="291"/>
      <c r="TPV45" s="292"/>
      <c r="TPW45" s="292"/>
      <c r="TPX45" s="292"/>
      <c r="TPY45" s="291"/>
      <c r="TPZ45" s="292"/>
      <c r="TQA45" s="292"/>
      <c r="TQB45" s="292"/>
      <c r="TQC45" s="291"/>
      <c r="TQD45" s="292"/>
      <c r="TQE45" s="292"/>
      <c r="TQF45" s="292"/>
      <c r="TQG45" s="291"/>
      <c r="TQH45" s="292"/>
      <c r="TQI45" s="292"/>
      <c r="TQJ45" s="292"/>
      <c r="TQK45" s="291"/>
      <c r="TQL45" s="292"/>
      <c r="TQM45" s="292"/>
      <c r="TQN45" s="292"/>
      <c r="TQO45" s="291"/>
      <c r="TQP45" s="292"/>
      <c r="TQQ45" s="292"/>
      <c r="TQR45" s="292"/>
      <c r="TQS45" s="291"/>
      <c r="TQT45" s="292"/>
      <c r="TQU45" s="292"/>
      <c r="TQV45" s="292"/>
      <c r="TQW45" s="291"/>
      <c r="TQX45" s="292"/>
      <c r="TQY45" s="292"/>
      <c r="TQZ45" s="292"/>
      <c r="TRA45" s="291"/>
      <c r="TRB45" s="292"/>
      <c r="TRC45" s="292"/>
      <c r="TRD45" s="292"/>
      <c r="TRE45" s="291"/>
      <c r="TRF45" s="292"/>
      <c r="TRG45" s="292"/>
      <c r="TRH45" s="292"/>
      <c r="TRI45" s="291"/>
      <c r="TRJ45" s="292"/>
      <c r="TRK45" s="292"/>
      <c r="TRL45" s="292"/>
      <c r="TRM45" s="291"/>
      <c r="TRN45" s="292"/>
      <c r="TRO45" s="292"/>
      <c r="TRP45" s="292"/>
      <c r="TRQ45" s="291"/>
      <c r="TRR45" s="292"/>
      <c r="TRS45" s="292"/>
      <c r="TRT45" s="292"/>
      <c r="TRU45" s="291"/>
      <c r="TRV45" s="292"/>
      <c r="TRW45" s="292"/>
      <c r="TRX45" s="292"/>
      <c r="TRY45" s="291"/>
      <c r="TRZ45" s="292"/>
      <c r="TSA45" s="292"/>
      <c r="TSB45" s="292"/>
      <c r="TSC45" s="291"/>
      <c r="TSD45" s="292"/>
      <c r="TSE45" s="292"/>
      <c r="TSF45" s="292"/>
      <c r="TSG45" s="291"/>
      <c r="TSH45" s="292"/>
      <c r="TSI45" s="292"/>
      <c r="TSJ45" s="292"/>
      <c r="TSK45" s="291"/>
      <c r="TSL45" s="292"/>
      <c r="TSM45" s="292"/>
      <c r="TSN45" s="292"/>
      <c r="TSO45" s="291"/>
      <c r="TSP45" s="292"/>
      <c r="TSQ45" s="292"/>
      <c r="TSR45" s="292"/>
      <c r="TSS45" s="291"/>
      <c r="TST45" s="292"/>
      <c r="TSU45" s="292"/>
      <c r="TSV45" s="292"/>
      <c r="TSW45" s="291"/>
      <c r="TSX45" s="292"/>
      <c r="TSY45" s="292"/>
      <c r="TSZ45" s="292"/>
      <c r="TTA45" s="291"/>
      <c r="TTB45" s="292"/>
      <c r="TTC45" s="292"/>
      <c r="TTD45" s="292"/>
      <c r="TTE45" s="291"/>
      <c r="TTF45" s="292"/>
      <c r="TTG45" s="292"/>
      <c r="TTH45" s="292"/>
      <c r="TTI45" s="291"/>
      <c r="TTJ45" s="292"/>
      <c r="TTK45" s="292"/>
      <c r="TTL45" s="292"/>
      <c r="TTM45" s="291"/>
      <c r="TTN45" s="292"/>
      <c r="TTO45" s="292"/>
      <c r="TTP45" s="292"/>
      <c r="TTQ45" s="291"/>
      <c r="TTR45" s="292"/>
      <c r="TTS45" s="292"/>
      <c r="TTT45" s="292"/>
      <c r="TTU45" s="291"/>
      <c r="TTV45" s="292"/>
      <c r="TTW45" s="292"/>
      <c r="TTX45" s="292"/>
      <c r="TTY45" s="291"/>
      <c r="TTZ45" s="292"/>
      <c r="TUA45" s="292"/>
      <c r="TUB45" s="292"/>
      <c r="TUC45" s="291"/>
      <c r="TUD45" s="292"/>
      <c r="TUE45" s="292"/>
      <c r="TUF45" s="292"/>
      <c r="TUG45" s="291"/>
      <c r="TUH45" s="292"/>
      <c r="TUI45" s="292"/>
      <c r="TUJ45" s="292"/>
      <c r="TUK45" s="291"/>
      <c r="TUL45" s="292"/>
      <c r="TUM45" s="292"/>
      <c r="TUN45" s="292"/>
      <c r="TUO45" s="291"/>
      <c r="TUP45" s="292"/>
      <c r="TUQ45" s="292"/>
      <c r="TUR45" s="292"/>
      <c r="TUS45" s="291"/>
      <c r="TUT45" s="292"/>
      <c r="TUU45" s="292"/>
      <c r="TUV45" s="292"/>
      <c r="TUW45" s="291"/>
      <c r="TUX45" s="292"/>
      <c r="TUY45" s="292"/>
      <c r="TUZ45" s="292"/>
      <c r="TVA45" s="291"/>
      <c r="TVB45" s="292"/>
      <c r="TVC45" s="292"/>
      <c r="TVD45" s="292"/>
      <c r="TVE45" s="291"/>
      <c r="TVF45" s="292"/>
      <c r="TVG45" s="292"/>
      <c r="TVH45" s="292"/>
      <c r="TVI45" s="291"/>
      <c r="TVJ45" s="292"/>
      <c r="TVK45" s="292"/>
      <c r="TVL45" s="292"/>
      <c r="TVM45" s="291"/>
      <c r="TVN45" s="292"/>
      <c r="TVO45" s="292"/>
      <c r="TVP45" s="292"/>
      <c r="TVQ45" s="291"/>
      <c r="TVR45" s="292"/>
      <c r="TVS45" s="292"/>
      <c r="TVT45" s="292"/>
      <c r="TVU45" s="291"/>
      <c r="TVV45" s="292"/>
      <c r="TVW45" s="292"/>
      <c r="TVX45" s="292"/>
      <c r="TVY45" s="291"/>
      <c r="TVZ45" s="292"/>
      <c r="TWA45" s="292"/>
      <c r="TWB45" s="292"/>
      <c r="TWC45" s="291"/>
      <c r="TWD45" s="292"/>
      <c r="TWE45" s="292"/>
      <c r="TWF45" s="292"/>
      <c r="TWG45" s="291"/>
      <c r="TWH45" s="292"/>
      <c r="TWI45" s="292"/>
      <c r="TWJ45" s="292"/>
      <c r="TWK45" s="291"/>
      <c r="TWL45" s="292"/>
      <c r="TWM45" s="292"/>
      <c r="TWN45" s="292"/>
      <c r="TWO45" s="291"/>
      <c r="TWP45" s="292"/>
      <c r="TWQ45" s="292"/>
      <c r="TWR45" s="292"/>
      <c r="TWS45" s="291"/>
      <c r="TWT45" s="292"/>
      <c r="TWU45" s="292"/>
      <c r="TWV45" s="292"/>
      <c r="TWW45" s="291"/>
      <c r="TWX45" s="292"/>
      <c r="TWY45" s="292"/>
      <c r="TWZ45" s="292"/>
      <c r="TXA45" s="291"/>
      <c r="TXB45" s="292"/>
      <c r="TXC45" s="292"/>
      <c r="TXD45" s="292"/>
      <c r="TXE45" s="291"/>
      <c r="TXF45" s="292"/>
      <c r="TXG45" s="292"/>
      <c r="TXH45" s="292"/>
      <c r="TXI45" s="291"/>
      <c r="TXJ45" s="292"/>
      <c r="TXK45" s="292"/>
      <c r="TXL45" s="292"/>
      <c r="TXM45" s="291"/>
      <c r="TXN45" s="292"/>
      <c r="TXO45" s="292"/>
      <c r="TXP45" s="292"/>
      <c r="TXQ45" s="291"/>
      <c r="TXR45" s="292"/>
      <c r="TXS45" s="292"/>
      <c r="TXT45" s="292"/>
      <c r="TXU45" s="291"/>
      <c r="TXV45" s="292"/>
      <c r="TXW45" s="292"/>
      <c r="TXX45" s="292"/>
      <c r="TXY45" s="291"/>
      <c r="TXZ45" s="292"/>
      <c r="TYA45" s="292"/>
      <c r="TYB45" s="292"/>
      <c r="TYC45" s="291"/>
      <c r="TYD45" s="292"/>
      <c r="TYE45" s="292"/>
      <c r="TYF45" s="292"/>
      <c r="TYG45" s="291"/>
      <c r="TYH45" s="292"/>
      <c r="TYI45" s="292"/>
      <c r="TYJ45" s="292"/>
      <c r="TYK45" s="291"/>
      <c r="TYL45" s="292"/>
      <c r="TYM45" s="292"/>
      <c r="TYN45" s="292"/>
      <c r="TYO45" s="291"/>
      <c r="TYP45" s="292"/>
      <c r="TYQ45" s="292"/>
      <c r="TYR45" s="292"/>
      <c r="TYS45" s="291"/>
      <c r="TYT45" s="292"/>
      <c r="TYU45" s="292"/>
      <c r="TYV45" s="292"/>
      <c r="TYW45" s="291"/>
      <c r="TYX45" s="292"/>
      <c r="TYY45" s="292"/>
      <c r="TYZ45" s="292"/>
      <c r="TZA45" s="291"/>
      <c r="TZB45" s="292"/>
      <c r="TZC45" s="292"/>
      <c r="TZD45" s="292"/>
      <c r="TZE45" s="291"/>
      <c r="TZF45" s="292"/>
      <c r="TZG45" s="292"/>
      <c r="TZH45" s="292"/>
      <c r="TZI45" s="291"/>
      <c r="TZJ45" s="292"/>
      <c r="TZK45" s="292"/>
      <c r="TZL45" s="292"/>
      <c r="TZM45" s="291"/>
      <c r="TZN45" s="292"/>
      <c r="TZO45" s="292"/>
      <c r="TZP45" s="292"/>
      <c r="TZQ45" s="291"/>
      <c r="TZR45" s="292"/>
      <c r="TZS45" s="292"/>
      <c r="TZT45" s="292"/>
      <c r="TZU45" s="291"/>
      <c r="TZV45" s="292"/>
      <c r="TZW45" s="292"/>
      <c r="TZX45" s="292"/>
      <c r="TZY45" s="291"/>
      <c r="TZZ45" s="292"/>
      <c r="UAA45" s="292"/>
      <c r="UAB45" s="292"/>
      <c r="UAC45" s="291"/>
      <c r="UAD45" s="292"/>
      <c r="UAE45" s="292"/>
      <c r="UAF45" s="292"/>
      <c r="UAG45" s="291"/>
      <c r="UAH45" s="292"/>
      <c r="UAI45" s="292"/>
      <c r="UAJ45" s="292"/>
      <c r="UAK45" s="291"/>
      <c r="UAL45" s="292"/>
      <c r="UAM45" s="292"/>
      <c r="UAN45" s="292"/>
      <c r="UAO45" s="291"/>
      <c r="UAP45" s="292"/>
      <c r="UAQ45" s="292"/>
      <c r="UAR45" s="292"/>
      <c r="UAS45" s="291"/>
      <c r="UAT45" s="292"/>
      <c r="UAU45" s="292"/>
      <c r="UAV45" s="292"/>
      <c r="UAW45" s="291"/>
      <c r="UAX45" s="292"/>
      <c r="UAY45" s="292"/>
      <c r="UAZ45" s="292"/>
      <c r="UBA45" s="291"/>
      <c r="UBB45" s="292"/>
      <c r="UBC45" s="292"/>
      <c r="UBD45" s="292"/>
      <c r="UBE45" s="291"/>
      <c r="UBF45" s="292"/>
      <c r="UBG45" s="292"/>
      <c r="UBH45" s="292"/>
      <c r="UBI45" s="291"/>
      <c r="UBJ45" s="292"/>
      <c r="UBK45" s="292"/>
      <c r="UBL45" s="292"/>
      <c r="UBM45" s="291"/>
      <c r="UBN45" s="292"/>
      <c r="UBO45" s="292"/>
      <c r="UBP45" s="292"/>
      <c r="UBQ45" s="291"/>
      <c r="UBR45" s="292"/>
      <c r="UBS45" s="292"/>
      <c r="UBT45" s="292"/>
      <c r="UBU45" s="291"/>
      <c r="UBV45" s="292"/>
      <c r="UBW45" s="292"/>
      <c r="UBX45" s="292"/>
      <c r="UBY45" s="291"/>
      <c r="UBZ45" s="292"/>
      <c r="UCA45" s="292"/>
      <c r="UCB45" s="292"/>
      <c r="UCC45" s="291"/>
      <c r="UCD45" s="292"/>
      <c r="UCE45" s="292"/>
      <c r="UCF45" s="292"/>
      <c r="UCG45" s="291"/>
      <c r="UCH45" s="292"/>
      <c r="UCI45" s="292"/>
      <c r="UCJ45" s="292"/>
      <c r="UCK45" s="291"/>
      <c r="UCL45" s="292"/>
      <c r="UCM45" s="292"/>
      <c r="UCN45" s="292"/>
      <c r="UCO45" s="291"/>
      <c r="UCP45" s="292"/>
      <c r="UCQ45" s="292"/>
      <c r="UCR45" s="292"/>
      <c r="UCS45" s="291"/>
      <c r="UCT45" s="292"/>
      <c r="UCU45" s="292"/>
      <c r="UCV45" s="292"/>
      <c r="UCW45" s="291"/>
      <c r="UCX45" s="292"/>
      <c r="UCY45" s="292"/>
      <c r="UCZ45" s="292"/>
      <c r="UDA45" s="291"/>
      <c r="UDB45" s="292"/>
      <c r="UDC45" s="292"/>
      <c r="UDD45" s="292"/>
      <c r="UDE45" s="291"/>
      <c r="UDF45" s="292"/>
      <c r="UDG45" s="292"/>
      <c r="UDH45" s="292"/>
      <c r="UDI45" s="291"/>
      <c r="UDJ45" s="292"/>
      <c r="UDK45" s="292"/>
      <c r="UDL45" s="292"/>
      <c r="UDM45" s="291"/>
      <c r="UDN45" s="292"/>
      <c r="UDO45" s="292"/>
      <c r="UDP45" s="292"/>
      <c r="UDQ45" s="291"/>
      <c r="UDR45" s="292"/>
      <c r="UDS45" s="292"/>
      <c r="UDT45" s="292"/>
      <c r="UDU45" s="291"/>
      <c r="UDV45" s="292"/>
      <c r="UDW45" s="292"/>
      <c r="UDX45" s="292"/>
      <c r="UDY45" s="291"/>
      <c r="UDZ45" s="292"/>
      <c r="UEA45" s="292"/>
      <c r="UEB45" s="292"/>
      <c r="UEC45" s="291"/>
      <c r="UED45" s="292"/>
      <c r="UEE45" s="292"/>
      <c r="UEF45" s="292"/>
      <c r="UEG45" s="291"/>
      <c r="UEH45" s="292"/>
      <c r="UEI45" s="292"/>
      <c r="UEJ45" s="292"/>
      <c r="UEK45" s="291"/>
      <c r="UEL45" s="292"/>
      <c r="UEM45" s="292"/>
      <c r="UEN45" s="292"/>
      <c r="UEO45" s="291"/>
      <c r="UEP45" s="292"/>
      <c r="UEQ45" s="292"/>
      <c r="UER45" s="292"/>
      <c r="UES45" s="291"/>
      <c r="UET45" s="292"/>
      <c r="UEU45" s="292"/>
      <c r="UEV45" s="292"/>
      <c r="UEW45" s="291"/>
      <c r="UEX45" s="292"/>
      <c r="UEY45" s="292"/>
      <c r="UEZ45" s="292"/>
      <c r="UFA45" s="291"/>
      <c r="UFB45" s="292"/>
      <c r="UFC45" s="292"/>
      <c r="UFD45" s="292"/>
      <c r="UFE45" s="291"/>
      <c r="UFF45" s="292"/>
      <c r="UFG45" s="292"/>
      <c r="UFH45" s="292"/>
      <c r="UFI45" s="291"/>
      <c r="UFJ45" s="292"/>
      <c r="UFK45" s="292"/>
      <c r="UFL45" s="292"/>
      <c r="UFM45" s="291"/>
      <c r="UFN45" s="292"/>
      <c r="UFO45" s="292"/>
      <c r="UFP45" s="292"/>
      <c r="UFQ45" s="291"/>
      <c r="UFR45" s="292"/>
      <c r="UFS45" s="292"/>
      <c r="UFT45" s="292"/>
      <c r="UFU45" s="291"/>
      <c r="UFV45" s="292"/>
      <c r="UFW45" s="292"/>
      <c r="UFX45" s="292"/>
      <c r="UFY45" s="291"/>
      <c r="UFZ45" s="292"/>
      <c r="UGA45" s="292"/>
      <c r="UGB45" s="292"/>
      <c r="UGC45" s="291"/>
      <c r="UGD45" s="292"/>
      <c r="UGE45" s="292"/>
      <c r="UGF45" s="292"/>
      <c r="UGG45" s="291"/>
      <c r="UGH45" s="292"/>
      <c r="UGI45" s="292"/>
      <c r="UGJ45" s="292"/>
      <c r="UGK45" s="291"/>
      <c r="UGL45" s="292"/>
      <c r="UGM45" s="292"/>
      <c r="UGN45" s="292"/>
      <c r="UGO45" s="291"/>
      <c r="UGP45" s="292"/>
      <c r="UGQ45" s="292"/>
      <c r="UGR45" s="292"/>
      <c r="UGS45" s="291"/>
      <c r="UGT45" s="292"/>
      <c r="UGU45" s="292"/>
      <c r="UGV45" s="292"/>
      <c r="UGW45" s="291"/>
      <c r="UGX45" s="292"/>
      <c r="UGY45" s="292"/>
      <c r="UGZ45" s="292"/>
      <c r="UHA45" s="291"/>
      <c r="UHB45" s="292"/>
      <c r="UHC45" s="292"/>
      <c r="UHD45" s="292"/>
      <c r="UHE45" s="291"/>
      <c r="UHF45" s="292"/>
      <c r="UHG45" s="292"/>
      <c r="UHH45" s="292"/>
      <c r="UHI45" s="291"/>
      <c r="UHJ45" s="292"/>
      <c r="UHK45" s="292"/>
      <c r="UHL45" s="292"/>
      <c r="UHM45" s="291"/>
      <c r="UHN45" s="292"/>
      <c r="UHO45" s="292"/>
      <c r="UHP45" s="292"/>
      <c r="UHQ45" s="291"/>
      <c r="UHR45" s="292"/>
      <c r="UHS45" s="292"/>
      <c r="UHT45" s="292"/>
      <c r="UHU45" s="291"/>
      <c r="UHV45" s="292"/>
      <c r="UHW45" s="292"/>
      <c r="UHX45" s="292"/>
      <c r="UHY45" s="291"/>
      <c r="UHZ45" s="292"/>
      <c r="UIA45" s="292"/>
      <c r="UIB45" s="292"/>
      <c r="UIC45" s="291"/>
      <c r="UID45" s="292"/>
      <c r="UIE45" s="292"/>
      <c r="UIF45" s="292"/>
      <c r="UIG45" s="291"/>
      <c r="UIH45" s="292"/>
      <c r="UII45" s="292"/>
      <c r="UIJ45" s="292"/>
      <c r="UIK45" s="291"/>
      <c r="UIL45" s="292"/>
      <c r="UIM45" s="292"/>
      <c r="UIN45" s="292"/>
      <c r="UIO45" s="291"/>
      <c r="UIP45" s="292"/>
      <c r="UIQ45" s="292"/>
      <c r="UIR45" s="292"/>
      <c r="UIS45" s="291"/>
      <c r="UIT45" s="292"/>
      <c r="UIU45" s="292"/>
      <c r="UIV45" s="292"/>
      <c r="UIW45" s="291"/>
      <c r="UIX45" s="292"/>
      <c r="UIY45" s="292"/>
      <c r="UIZ45" s="292"/>
      <c r="UJA45" s="291"/>
      <c r="UJB45" s="292"/>
      <c r="UJC45" s="292"/>
      <c r="UJD45" s="292"/>
      <c r="UJE45" s="291"/>
      <c r="UJF45" s="292"/>
      <c r="UJG45" s="292"/>
      <c r="UJH45" s="292"/>
      <c r="UJI45" s="291"/>
      <c r="UJJ45" s="292"/>
      <c r="UJK45" s="292"/>
      <c r="UJL45" s="292"/>
      <c r="UJM45" s="291"/>
      <c r="UJN45" s="292"/>
      <c r="UJO45" s="292"/>
      <c r="UJP45" s="292"/>
      <c r="UJQ45" s="291"/>
      <c r="UJR45" s="292"/>
      <c r="UJS45" s="292"/>
      <c r="UJT45" s="292"/>
      <c r="UJU45" s="291"/>
      <c r="UJV45" s="292"/>
      <c r="UJW45" s="292"/>
      <c r="UJX45" s="292"/>
      <c r="UJY45" s="291"/>
      <c r="UJZ45" s="292"/>
      <c r="UKA45" s="292"/>
      <c r="UKB45" s="292"/>
      <c r="UKC45" s="291"/>
      <c r="UKD45" s="292"/>
      <c r="UKE45" s="292"/>
      <c r="UKF45" s="292"/>
      <c r="UKG45" s="291"/>
      <c r="UKH45" s="292"/>
      <c r="UKI45" s="292"/>
      <c r="UKJ45" s="292"/>
      <c r="UKK45" s="291"/>
      <c r="UKL45" s="292"/>
      <c r="UKM45" s="292"/>
      <c r="UKN45" s="292"/>
      <c r="UKO45" s="291"/>
      <c r="UKP45" s="292"/>
      <c r="UKQ45" s="292"/>
      <c r="UKR45" s="292"/>
      <c r="UKS45" s="291"/>
      <c r="UKT45" s="292"/>
      <c r="UKU45" s="292"/>
      <c r="UKV45" s="292"/>
      <c r="UKW45" s="291"/>
      <c r="UKX45" s="292"/>
      <c r="UKY45" s="292"/>
      <c r="UKZ45" s="292"/>
      <c r="ULA45" s="291"/>
      <c r="ULB45" s="292"/>
      <c r="ULC45" s="292"/>
      <c r="ULD45" s="292"/>
      <c r="ULE45" s="291"/>
      <c r="ULF45" s="292"/>
      <c r="ULG45" s="292"/>
      <c r="ULH45" s="292"/>
      <c r="ULI45" s="291"/>
      <c r="ULJ45" s="292"/>
      <c r="ULK45" s="292"/>
      <c r="ULL45" s="292"/>
      <c r="ULM45" s="291"/>
      <c r="ULN45" s="292"/>
      <c r="ULO45" s="292"/>
      <c r="ULP45" s="292"/>
      <c r="ULQ45" s="291"/>
      <c r="ULR45" s="292"/>
      <c r="ULS45" s="292"/>
      <c r="ULT45" s="292"/>
      <c r="ULU45" s="291"/>
      <c r="ULV45" s="292"/>
      <c r="ULW45" s="292"/>
      <c r="ULX45" s="292"/>
      <c r="ULY45" s="291"/>
      <c r="ULZ45" s="292"/>
      <c r="UMA45" s="292"/>
      <c r="UMB45" s="292"/>
      <c r="UMC45" s="291"/>
      <c r="UMD45" s="292"/>
      <c r="UME45" s="292"/>
      <c r="UMF45" s="292"/>
      <c r="UMG45" s="291"/>
      <c r="UMH45" s="292"/>
      <c r="UMI45" s="292"/>
      <c r="UMJ45" s="292"/>
      <c r="UMK45" s="291"/>
      <c r="UML45" s="292"/>
      <c r="UMM45" s="292"/>
      <c r="UMN45" s="292"/>
      <c r="UMO45" s="291"/>
      <c r="UMP45" s="292"/>
      <c r="UMQ45" s="292"/>
      <c r="UMR45" s="292"/>
      <c r="UMS45" s="291"/>
      <c r="UMT45" s="292"/>
      <c r="UMU45" s="292"/>
      <c r="UMV45" s="292"/>
      <c r="UMW45" s="291"/>
      <c r="UMX45" s="292"/>
      <c r="UMY45" s="292"/>
      <c r="UMZ45" s="292"/>
      <c r="UNA45" s="291"/>
      <c r="UNB45" s="292"/>
      <c r="UNC45" s="292"/>
      <c r="UND45" s="292"/>
      <c r="UNE45" s="291"/>
      <c r="UNF45" s="292"/>
      <c r="UNG45" s="292"/>
      <c r="UNH45" s="292"/>
      <c r="UNI45" s="291"/>
      <c r="UNJ45" s="292"/>
      <c r="UNK45" s="292"/>
      <c r="UNL45" s="292"/>
      <c r="UNM45" s="291"/>
      <c r="UNN45" s="292"/>
      <c r="UNO45" s="292"/>
      <c r="UNP45" s="292"/>
      <c r="UNQ45" s="291"/>
      <c r="UNR45" s="292"/>
      <c r="UNS45" s="292"/>
      <c r="UNT45" s="292"/>
      <c r="UNU45" s="291"/>
      <c r="UNV45" s="292"/>
      <c r="UNW45" s="292"/>
      <c r="UNX45" s="292"/>
      <c r="UNY45" s="291"/>
      <c r="UNZ45" s="292"/>
      <c r="UOA45" s="292"/>
      <c r="UOB45" s="292"/>
      <c r="UOC45" s="291"/>
      <c r="UOD45" s="292"/>
      <c r="UOE45" s="292"/>
      <c r="UOF45" s="292"/>
      <c r="UOG45" s="291"/>
      <c r="UOH45" s="292"/>
      <c r="UOI45" s="292"/>
      <c r="UOJ45" s="292"/>
      <c r="UOK45" s="291"/>
      <c r="UOL45" s="292"/>
      <c r="UOM45" s="292"/>
      <c r="UON45" s="292"/>
      <c r="UOO45" s="291"/>
      <c r="UOP45" s="292"/>
      <c r="UOQ45" s="292"/>
      <c r="UOR45" s="292"/>
      <c r="UOS45" s="291"/>
      <c r="UOT45" s="292"/>
      <c r="UOU45" s="292"/>
      <c r="UOV45" s="292"/>
      <c r="UOW45" s="291"/>
      <c r="UOX45" s="292"/>
      <c r="UOY45" s="292"/>
      <c r="UOZ45" s="292"/>
      <c r="UPA45" s="291"/>
      <c r="UPB45" s="292"/>
      <c r="UPC45" s="292"/>
      <c r="UPD45" s="292"/>
      <c r="UPE45" s="291"/>
      <c r="UPF45" s="292"/>
      <c r="UPG45" s="292"/>
      <c r="UPH45" s="292"/>
      <c r="UPI45" s="291"/>
      <c r="UPJ45" s="292"/>
      <c r="UPK45" s="292"/>
      <c r="UPL45" s="292"/>
      <c r="UPM45" s="291"/>
      <c r="UPN45" s="292"/>
      <c r="UPO45" s="292"/>
      <c r="UPP45" s="292"/>
      <c r="UPQ45" s="291"/>
      <c r="UPR45" s="292"/>
      <c r="UPS45" s="292"/>
      <c r="UPT45" s="292"/>
      <c r="UPU45" s="291"/>
      <c r="UPV45" s="292"/>
      <c r="UPW45" s="292"/>
      <c r="UPX45" s="292"/>
      <c r="UPY45" s="291"/>
      <c r="UPZ45" s="292"/>
      <c r="UQA45" s="292"/>
      <c r="UQB45" s="292"/>
      <c r="UQC45" s="291"/>
      <c r="UQD45" s="292"/>
      <c r="UQE45" s="292"/>
      <c r="UQF45" s="292"/>
      <c r="UQG45" s="291"/>
      <c r="UQH45" s="292"/>
      <c r="UQI45" s="292"/>
      <c r="UQJ45" s="292"/>
      <c r="UQK45" s="291"/>
      <c r="UQL45" s="292"/>
      <c r="UQM45" s="292"/>
      <c r="UQN45" s="292"/>
      <c r="UQO45" s="291"/>
      <c r="UQP45" s="292"/>
      <c r="UQQ45" s="292"/>
      <c r="UQR45" s="292"/>
      <c r="UQS45" s="291"/>
      <c r="UQT45" s="292"/>
      <c r="UQU45" s="292"/>
      <c r="UQV45" s="292"/>
      <c r="UQW45" s="291"/>
      <c r="UQX45" s="292"/>
      <c r="UQY45" s="292"/>
      <c r="UQZ45" s="292"/>
      <c r="URA45" s="291"/>
      <c r="URB45" s="292"/>
      <c r="URC45" s="292"/>
      <c r="URD45" s="292"/>
      <c r="URE45" s="291"/>
      <c r="URF45" s="292"/>
      <c r="URG45" s="292"/>
      <c r="URH45" s="292"/>
      <c r="URI45" s="291"/>
      <c r="URJ45" s="292"/>
      <c r="URK45" s="292"/>
      <c r="URL45" s="292"/>
      <c r="URM45" s="291"/>
      <c r="URN45" s="292"/>
      <c r="URO45" s="292"/>
      <c r="URP45" s="292"/>
      <c r="URQ45" s="291"/>
      <c r="URR45" s="292"/>
      <c r="URS45" s="292"/>
      <c r="URT45" s="292"/>
      <c r="URU45" s="291"/>
      <c r="URV45" s="292"/>
      <c r="URW45" s="292"/>
      <c r="URX45" s="292"/>
      <c r="URY45" s="291"/>
      <c r="URZ45" s="292"/>
      <c r="USA45" s="292"/>
      <c r="USB45" s="292"/>
      <c r="USC45" s="291"/>
      <c r="USD45" s="292"/>
      <c r="USE45" s="292"/>
      <c r="USF45" s="292"/>
      <c r="USG45" s="291"/>
      <c r="USH45" s="292"/>
      <c r="USI45" s="292"/>
      <c r="USJ45" s="292"/>
      <c r="USK45" s="291"/>
      <c r="USL45" s="292"/>
      <c r="USM45" s="292"/>
      <c r="USN45" s="292"/>
      <c r="USO45" s="291"/>
      <c r="USP45" s="292"/>
      <c r="USQ45" s="292"/>
      <c r="USR45" s="292"/>
      <c r="USS45" s="291"/>
      <c r="UST45" s="292"/>
      <c r="USU45" s="292"/>
      <c r="USV45" s="292"/>
      <c r="USW45" s="291"/>
      <c r="USX45" s="292"/>
      <c r="USY45" s="292"/>
      <c r="USZ45" s="292"/>
      <c r="UTA45" s="291"/>
      <c r="UTB45" s="292"/>
      <c r="UTC45" s="292"/>
      <c r="UTD45" s="292"/>
      <c r="UTE45" s="291"/>
      <c r="UTF45" s="292"/>
      <c r="UTG45" s="292"/>
      <c r="UTH45" s="292"/>
      <c r="UTI45" s="291"/>
      <c r="UTJ45" s="292"/>
      <c r="UTK45" s="292"/>
      <c r="UTL45" s="292"/>
      <c r="UTM45" s="291"/>
      <c r="UTN45" s="292"/>
      <c r="UTO45" s="292"/>
      <c r="UTP45" s="292"/>
      <c r="UTQ45" s="291"/>
      <c r="UTR45" s="292"/>
      <c r="UTS45" s="292"/>
      <c r="UTT45" s="292"/>
      <c r="UTU45" s="291"/>
      <c r="UTV45" s="292"/>
      <c r="UTW45" s="292"/>
      <c r="UTX45" s="292"/>
      <c r="UTY45" s="291"/>
      <c r="UTZ45" s="292"/>
      <c r="UUA45" s="292"/>
      <c r="UUB45" s="292"/>
      <c r="UUC45" s="291"/>
      <c r="UUD45" s="292"/>
      <c r="UUE45" s="292"/>
      <c r="UUF45" s="292"/>
      <c r="UUG45" s="291"/>
      <c r="UUH45" s="292"/>
      <c r="UUI45" s="292"/>
      <c r="UUJ45" s="292"/>
      <c r="UUK45" s="291"/>
      <c r="UUL45" s="292"/>
      <c r="UUM45" s="292"/>
      <c r="UUN45" s="292"/>
      <c r="UUO45" s="291"/>
      <c r="UUP45" s="292"/>
      <c r="UUQ45" s="292"/>
      <c r="UUR45" s="292"/>
      <c r="UUS45" s="291"/>
      <c r="UUT45" s="292"/>
      <c r="UUU45" s="292"/>
      <c r="UUV45" s="292"/>
      <c r="UUW45" s="291"/>
      <c r="UUX45" s="292"/>
      <c r="UUY45" s="292"/>
      <c r="UUZ45" s="292"/>
      <c r="UVA45" s="291"/>
      <c r="UVB45" s="292"/>
      <c r="UVC45" s="292"/>
      <c r="UVD45" s="292"/>
      <c r="UVE45" s="291"/>
      <c r="UVF45" s="292"/>
      <c r="UVG45" s="292"/>
      <c r="UVH45" s="292"/>
      <c r="UVI45" s="291"/>
      <c r="UVJ45" s="292"/>
      <c r="UVK45" s="292"/>
      <c r="UVL45" s="292"/>
      <c r="UVM45" s="291"/>
      <c r="UVN45" s="292"/>
      <c r="UVO45" s="292"/>
      <c r="UVP45" s="292"/>
      <c r="UVQ45" s="291"/>
      <c r="UVR45" s="292"/>
      <c r="UVS45" s="292"/>
      <c r="UVT45" s="292"/>
      <c r="UVU45" s="291"/>
      <c r="UVV45" s="292"/>
      <c r="UVW45" s="292"/>
      <c r="UVX45" s="292"/>
      <c r="UVY45" s="291"/>
      <c r="UVZ45" s="292"/>
      <c r="UWA45" s="292"/>
      <c r="UWB45" s="292"/>
      <c r="UWC45" s="291"/>
      <c r="UWD45" s="292"/>
      <c r="UWE45" s="292"/>
      <c r="UWF45" s="292"/>
      <c r="UWG45" s="291"/>
      <c r="UWH45" s="292"/>
      <c r="UWI45" s="292"/>
      <c r="UWJ45" s="292"/>
      <c r="UWK45" s="291"/>
      <c r="UWL45" s="292"/>
      <c r="UWM45" s="292"/>
      <c r="UWN45" s="292"/>
      <c r="UWO45" s="291"/>
      <c r="UWP45" s="292"/>
      <c r="UWQ45" s="292"/>
      <c r="UWR45" s="292"/>
      <c r="UWS45" s="291"/>
      <c r="UWT45" s="292"/>
      <c r="UWU45" s="292"/>
      <c r="UWV45" s="292"/>
      <c r="UWW45" s="291"/>
      <c r="UWX45" s="292"/>
      <c r="UWY45" s="292"/>
      <c r="UWZ45" s="292"/>
      <c r="UXA45" s="291"/>
      <c r="UXB45" s="292"/>
      <c r="UXC45" s="292"/>
      <c r="UXD45" s="292"/>
      <c r="UXE45" s="291"/>
      <c r="UXF45" s="292"/>
      <c r="UXG45" s="292"/>
      <c r="UXH45" s="292"/>
      <c r="UXI45" s="291"/>
      <c r="UXJ45" s="292"/>
      <c r="UXK45" s="292"/>
      <c r="UXL45" s="292"/>
      <c r="UXM45" s="291"/>
      <c r="UXN45" s="292"/>
      <c r="UXO45" s="292"/>
      <c r="UXP45" s="292"/>
      <c r="UXQ45" s="291"/>
      <c r="UXR45" s="292"/>
      <c r="UXS45" s="292"/>
      <c r="UXT45" s="292"/>
      <c r="UXU45" s="291"/>
      <c r="UXV45" s="292"/>
      <c r="UXW45" s="292"/>
      <c r="UXX45" s="292"/>
      <c r="UXY45" s="291"/>
      <c r="UXZ45" s="292"/>
      <c r="UYA45" s="292"/>
      <c r="UYB45" s="292"/>
      <c r="UYC45" s="291"/>
      <c r="UYD45" s="292"/>
      <c r="UYE45" s="292"/>
      <c r="UYF45" s="292"/>
      <c r="UYG45" s="291"/>
      <c r="UYH45" s="292"/>
      <c r="UYI45" s="292"/>
      <c r="UYJ45" s="292"/>
      <c r="UYK45" s="291"/>
      <c r="UYL45" s="292"/>
      <c r="UYM45" s="292"/>
      <c r="UYN45" s="292"/>
      <c r="UYO45" s="291"/>
      <c r="UYP45" s="292"/>
      <c r="UYQ45" s="292"/>
      <c r="UYR45" s="292"/>
      <c r="UYS45" s="291"/>
      <c r="UYT45" s="292"/>
      <c r="UYU45" s="292"/>
      <c r="UYV45" s="292"/>
      <c r="UYW45" s="291"/>
      <c r="UYX45" s="292"/>
      <c r="UYY45" s="292"/>
      <c r="UYZ45" s="292"/>
      <c r="UZA45" s="291"/>
      <c r="UZB45" s="292"/>
      <c r="UZC45" s="292"/>
      <c r="UZD45" s="292"/>
      <c r="UZE45" s="291"/>
      <c r="UZF45" s="292"/>
      <c r="UZG45" s="292"/>
      <c r="UZH45" s="292"/>
      <c r="UZI45" s="291"/>
      <c r="UZJ45" s="292"/>
      <c r="UZK45" s="292"/>
      <c r="UZL45" s="292"/>
      <c r="UZM45" s="291"/>
      <c r="UZN45" s="292"/>
      <c r="UZO45" s="292"/>
      <c r="UZP45" s="292"/>
      <c r="UZQ45" s="291"/>
      <c r="UZR45" s="292"/>
      <c r="UZS45" s="292"/>
      <c r="UZT45" s="292"/>
      <c r="UZU45" s="291"/>
      <c r="UZV45" s="292"/>
      <c r="UZW45" s="292"/>
      <c r="UZX45" s="292"/>
      <c r="UZY45" s="291"/>
      <c r="UZZ45" s="292"/>
      <c r="VAA45" s="292"/>
      <c r="VAB45" s="292"/>
      <c r="VAC45" s="291"/>
      <c r="VAD45" s="292"/>
      <c r="VAE45" s="292"/>
      <c r="VAF45" s="292"/>
      <c r="VAG45" s="291"/>
      <c r="VAH45" s="292"/>
      <c r="VAI45" s="292"/>
      <c r="VAJ45" s="292"/>
      <c r="VAK45" s="291"/>
      <c r="VAL45" s="292"/>
      <c r="VAM45" s="292"/>
      <c r="VAN45" s="292"/>
      <c r="VAO45" s="291"/>
      <c r="VAP45" s="292"/>
      <c r="VAQ45" s="292"/>
      <c r="VAR45" s="292"/>
      <c r="VAS45" s="291"/>
      <c r="VAT45" s="292"/>
      <c r="VAU45" s="292"/>
      <c r="VAV45" s="292"/>
      <c r="VAW45" s="291"/>
      <c r="VAX45" s="292"/>
      <c r="VAY45" s="292"/>
      <c r="VAZ45" s="292"/>
      <c r="VBA45" s="291"/>
      <c r="VBB45" s="292"/>
      <c r="VBC45" s="292"/>
      <c r="VBD45" s="292"/>
      <c r="VBE45" s="291"/>
      <c r="VBF45" s="292"/>
      <c r="VBG45" s="292"/>
      <c r="VBH45" s="292"/>
      <c r="VBI45" s="291"/>
      <c r="VBJ45" s="292"/>
      <c r="VBK45" s="292"/>
      <c r="VBL45" s="292"/>
      <c r="VBM45" s="291"/>
      <c r="VBN45" s="292"/>
      <c r="VBO45" s="292"/>
      <c r="VBP45" s="292"/>
      <c r="VBQ45" s="291"/>
      <c r="VBR45" s="292"/>
      <c r="VBS45" s="292"/>
      <c r="VBT45" s="292"/>
      <c r="VBU45" s="291"/>
      <c r="VBV45" s="292"/>
      <c r="VBW45" s="292"/>
      <c r="VBX45" s="292"/>
      <c r="VBY45" s="291"/>
      <c r="VBZ45" s="292"/>
      <c r="VCA45" s="292"/>
      <c r="VCB45" s="292"/>
      <c r="VCC45" s="291"/>
      <c r="VCD45" s="292"/>
      <c r="VCE45" s="292"/>
      <c r="VCF45" s="292"/>
      <c r="VCG45" s="291"/>
      <c r="VCH45" s="292"/>
      <c r="VCI45" s="292"/>
      <c r="VCJ45" s="292"/>
      <c r="VCK45" s="291"/>
      <c r="VCL45" s="292"/>
      <c r="VCM45" s="292"/>
      <c r="VCN45" s="292"/>
      <c r="VCO45" s="291"/>
      <c r="VCP45" s="292"/>
      <c r="VCQ45" s="292"/>
      <c r="VCR45" s="292"/>
      <c r="VCS45" s="291"/>
      <c r="VCT45" s="292"/>
      <c r="VCU45" s="292"/>
      <c r="VCV45" s="292"/>
      <c r="VCW45" s="291"/>
      <c r="VCX45" s="292"/>
      <c r="VCY45" s="292"/>
      <c r="VCZ45" s="292"/>
      <c r="VDA45" s="291"/>
      <c r="VDB45" s="292"/>
      <c r="VDC45" s="292"/>
      <c r="VDD45" s="292"/>
      <c r="VDE45" s="291"/>
      <c r="VDF45" s="292"/>
      <c r="VDG45" s="292"/>
      <c r="VDH45" s="292"/>
      <c r="VDI45" s="291"/>
      <c r="VDJ45" s="292"/>
      <c r="VDK45" s="292"/>
      <c r="VDL45" s="292"/>
      <c r="VDM45" s="291"/>
      <c r="VDN45" s="292"/>
      <c r="VDO45" s="292"/>
      <c r="VDP45" s="292"/>
      <c r="VDQ45" s="291"/>
      <c r="VDR45" s="292"/>
      <c r="VDS45" s="292"/>
      <c r="VDT45" s="292"/>
      <c r="VDU45" s="291"/>
      <c r="VDV45" s="292"/>
      <c r="VDW45" s="292"/>
      <c r="VDX45" s="292"/>
      <c r="VDY45" s="291"/>
      <c r="VDZ45" s="292"/>
      <c r="VEA45" s="292"/>
      <c r="VEB45" s="292"/>
      <c r="VEC45" s="291"/>
      <c r="VED45" s="292"/>
      <c r="VEE45" s="292"/>
      <c r="VEF45" s="292"/>
      <c r="VEG45" s="291"/>
      <c r="VEH45" s="292"/>
      <c r="VEI45" s="292"/>
      <c r="VEJ45" s="292"/>
      <c r="VEK45" s="291"/>
      <c r="VEL45" s="292"/>
      <c r="VEM45" s="292"/>
      <c r="VEN45" s="292"/>
      <c r="VEO45" s="291"/>
      <c r="VEP45" s="292"/>
      <c r="VEQ45" s="292"/>
      <c r="VER45" s="292"/>
      <c r="VES45" s="291"/>
      <c r="VET45" s="292"/>
      <c r="VEU45" s="292"/>
      <c r="VEV45" s="292"/>
      <c r="VEW45" s="291"/>
      <c r="VEX45" s="292"/>
      <c r="VEY45" s="292"/>
      <c r="VEZ45" s="292"/>
      <c r="VFA45" s="291"/>
      <c r="VFB45" s="292"/>
      <c r="VFC45" s="292"/>
      <c r="VFD45" s="292"/>
      <c r="VFE45" s="291"/>
      <c r="VFF45" s="292"/>
      <c r="VFG45" s="292"/>
      <c r="VFH45" s="292"/>
      <c r="VFI45" s="291"/>
      <c r="VFJ45" s="292"/>
      <c r="VFK45" s="292"/>
      <c r="VFL45" s="292"/>
      <c r="VFM45" s="291"/>
      <c r="VFN45" s="292"/>
      <c r="VFO45" s="292"/>
      <c r="VFP45" s="292"/>
      <c r="VFQ45" s="291"/>
      <c r="VFR45" s="292"/>
      <c r="VFS45" s="292"/>
      <c r="VFT45" s="292"/>
      <c r="VFU45" s="291"/>
      <c r="VFV45" s="292"/>
      <c r="VFW45" s="292"/>
      <c r="VFX45" s="292"/>
      <c r="VFY45" s="291"/>
      <c r="VFZ45" s="292"/>
      <c r="VGA45" s="292"/>
      <c r="VGB45" s="292"/>
      <c r="VGC45" s="291"/>
      <c r="VGD45" s="292"/>
      <c r="VGE45" s="292"/>
      <c r="VGF45" s="292"/>
      <c r="VGG45" s="291"/>
      <c r="VGH45" s="292"/>
      <c r="VGI45" s="292"/>
      <c r="VGJ45" s="292"/>
      <c r="VGK45" s="291"/>
      <c r="VGL45" s="292"/>
      <c r="VGM45" s="292"/>
      <c r="VGN45" s="292"/>
      <c r="VGO45" s="291"/>
      <c r="VGP45" s="292"/>
      <c r="VGQ45" s="292"/>
      <c r="VGR45" s="292"/>
      <c r="VGS45" s="291"/>
      <c r="VGT45" s="292"/>
      <c r="VGU45" s="292"/>
      <c r="VGV45" s="292"/>
      <c r="VGW45" s="291"/>
      <c r="VGX45" s="292"/>
      <c r="VGY45" s="292"/>
      <c r="VGZ45" s="292"/>
      <c r="VHA45" s="291"/>
      <c r="VHB45" s="292"/>
      <c r="VHC45" s="292"/>
      <c r="VHD45" s="292"/>
      <c r="VHE45" s="291"/>
      <c r="VHF45" s="292"/>
      <c r="VHG45" s="292"/>
      <c r="VHH45" s="292"/>
      <c r="VHI45" s="291"/>
      <c r="VHJ45" s="292"/>
      <c r="VHK45" s="292"/>
      <c r="VHL45" s="292"/>
      <c r="VHM45" s="291"/>
      <c r="VHN45" s="292"/>
      <c r="VHO45" s="292"/>
      <c r="VHP45" s="292"/>
      <c r="VHQ45" s="291"/>
      <c r="VHR45" s="292"/>
      <c r="VHS45" s="292"/>
      <c r="VHT45" s="292"/>
      <c r="VHU45" s="291"/>
      <c r="VHV45" s="292"/>
      <c r="VHW45" s="292"/>
      <c r="VHX45" s="292"/>
      <c r="VHY45" s="291"/>
      <c r="VHZ45" s="292"/>
      <c r="VIA45" s="292"/>
      <c r="VIB45" s="292"/>
      <c r="VIC45" s="291"/>
      <c r="VID45" s="292"/>
      <c r="VIE45" s="292"/>
      <c r="VIF45" s="292"/>
      <c r="VIG45" s="291"/>
      <c r="VIH45" s="292"/>
      <c r="VII45" s="292"/>
      <c r="VIJ45" s="292"/>
      <c r="VIK45" s="291"/>
      <c r="VIL45" s="292"/>
      <c r="VIM45" s="292"/>
      <c r="VIN45" s="292"/>
      <c r="VIO45" s="291"/>
      <c r="VIP45" s="292"/>
      <c r="VIQ45" s="292"/>
      <c r="VIR45" s="292"/>
      <c r="VIS45" s="291"/>
      <c r="VIT45" s="292"/>
      <c r="VIU45" s="292"/>
      <c r="VIV45" s="292"/>
      <c r="VIW45" s="291"/>
      <c r="VIX45" s="292"/>
      <c r="VIY45" s="292"/>
      <c r="VIZ45" s="292"/>
      <c r="VJA45" s="291"/>
      <c r="VJB45" s="292"/>
      <c r="VJC45" s="292"/>
      <c r="VJD45" s="292"/>
      <c r="VJE45" s="291"/>
      <c r="VJF45" s="292"/>
      <c r="VJG45" s="292"/>
      <c r="VJH45" s="292"/>
      <c r="VJI45" s="291"/>
      <c r="VJJ45" s="292"/>
      <c r="VJK45" s="292"/>
      <c r="VJL45" s="292"/>
      <c r="VJM45" s="291"/>
      <c r="VJN45" s="292"/>
      <c r="VJO45" s="292"/>
      <c r="VJP45" s="292"/>
      <c r="VJQ45" s="291"/>
      <c r="VJR45" s="292"/>
      <c r="VJS45" s="292"/>
      <c r="VJT45" s="292"/>
      <c r="VJU45" s="291"/>
      <c r="VJV45" s="292"/>
      <c r="VJW45" s="292"/>
      <c r="VJX45" s="292"/>
      <c r="VJY45" s="291"/>
      <c r="VJZ45" s="292"/>
      <c r="VKA45" s="292"/>
      <c r="VKB45" s="292"/>
      <c r="VKC45" s="291"/>
      <c r="VKD45" s="292"/>
      <c r="VKE45" s="292"/>
      <c r="VKF45" s="292"/>
      <c r="VKG45" s="291"/>
      <c r="VKH45" s="292"/>
      <c r="VKI45" s="292"/>
      <c r="VKJ45" s="292"/>
      <c r="VKK45" s="291"/>
      <c r="VKL45" s="292"/>
      <c r="VKM45" s="292"/>
      <c r="VKN45" s="292"/>
      <c r="VKO45" s="291"/>
      <c r="VKP45" s="292"/>
      <c r="VKQ45" s="292"/>
      <c r="VKR45" s="292"/>
      <c r="VKS45" s="291"/>
      <c r="VKT45" s="292"/>
      <c r="VKU45" s="292"/>
      <c r="VKV45" s="292"/>
      <c r="VKW45" s="291"/>
      <c r="VKX45" s="292"/>
      <c r="VKY45" s="292"/>
      <c r="VKZ45" s="292"/>
      <c r="VLA45" s="291"/>
      <c r="VLB45" s="292"/>
      <c r="VLC45" s="292"/>
      <c r="VLD45" s="292"/>
      <c r="VLE45" s="291"/>
      <c r="VLF45" s="292"/>
      <c r="VLG45" s="292"/>
      <c r="VLH45" s="292"/>
      <c r="VLI45" s="291"/>
      <c r="VLJ45" s="292"/>
      <c r="VLK45" s="292"/>
      <c r="VLL45" s="292"/>
      <c r="VLM45" s="291"/>
      <c r="VLN45" s="292"/>
      <c r="VLO45" s="292"/>
      <c r="VLP45" s="292"/>
      <c r="VLQ45" s="291"/>
      <c r="VLR45" s="292"/>
      <c r="VLS45" s="292"/>
      <c r="VLT45" s="292"/>
      <c r="VLU45" s="291"/>
      <c r="VLV45" s="292"/>
      <c r="VLW45" s="292"/>
      <c r="VLX45" s="292"/>
      <c r="VLY45" s="291"/>
      <c r="VLZ45" s="292"/>
      <c r="VMA45" s="292"/>
      <c r="VMB45" s="292"/>
      <c r="VMC45" s="291"/>
      <c r="VMD45" s="292"/>
      <c r="VME45" s="292"/>
      <c r="VMF45" s="292"/>
      <c r="VMG45" s="291"/>
      <c r="VMH45" s="292"/>
      <c r="VMI45" s="292"/>
      <c r="VMJ45" s="292"/>
      <c r="VMK45" s="291"/>
      <c r="VML45" s="292"/>
      <c r="VMM45" s="292"/>
      <c r="VMN45" s="292"/>
      <c r="VMO45" s="291"/>
      <c r="VMP45" s="292"/>
      <c r="VMQ45" s="292"/>
      <c r="VMR45" s="292"/>
      <c r="VMS45" s="291"/>
      <c r="VMT45" s="292"/>
      <c r="VMU45" s="292"/>
      <c r="VMV45" s="292"/>
      <c r="VMW45" s="291"/>
      <c r="VMX45" s="292"/>
      <c r="VMY45" s="292"/>
      <c r="VMZ45" s="292"/>
      <c r="VNA45" s="291"/>
      <c r="VNB45" s="292"/>
      <c r="VNC45" s="292"/>
      <c r="VND45" s="292"/>
      <c r="VNE45" s="291"/>
      <c r="VNF45" s="292"/>
      <c r="VNG45" s="292"/>
      <c r="VNH45" s="292"/>
      <c r="VNI45" s="291"/>
      <c r="VNJ45" s="292"/>
      <c r="VNK45" s="292"/>
      <c r="VNL45" s="292"/>
      <c r="VNM45" s="291"/>
      <c r="VNN45" s="292"/>
      <c r="VNO45" s="292"/>
      <c r="VNP45" s="292"/>
      <c r="VNQ45" s="291"/>
      <c r="VNR45" s="292"/>
      <c r="VNS45" s="292"/>
      <c r="VNT45" s="292"/>
      <c r="VNU45" s="291"/>
      <c r="VNV45" s="292"/>
      <c r="VNW45" s="292"/>
      <c r="VNX45" s="292"/>
      <c r="VNY45" s="291"/>
      <c r="VNZ45" s="292"/>
      <c r="VOA45" s="292"/>
      <c r="VOB45" s="292"/>
      <c r="VOC45" s="291"/>
      <c r="VOD45" s="292"/>
      <c r="VOE45" s="292"/>
      <c r="VOF45" s="292"/>
      <c r="VOG45" s="291"/>
      <c r="VOH45" s="292"/>
      <c r="VOI45" s="292"/>
      <c r="VOJ45" s="292"/>
      <c r="VOK45" s="291"/>
      <c r="VOL45" s="292"/>
      <c r="VOM45" s="292"/>
      <c r="VON45" s="292"/>
      <c r="VOO45" s="291"/>
      <c r="VOP45" s="292"/>
      <c r="VOQ45" s="292"/>
      <c r="VOR45" s="292"/>
      <c r="VOS45" s="291"/>
      <c r="VOT45" s="292"/>
      <c r="VOU45" s="292"/>
      <c r="VOV45" s="292"/>
      <c r="VOW45" s="291"/>
      <c r="VOX45" s="292"/>
      <c r="VOY45" s="292"/>
      <c r="VOZ45" s="292"/>
      <c r="VPA45" s="291"/>
      <c r="VPB45" s="292"/>
      <c r="VPC45" s="292"/>
      <c r="VPD45" s="292"/>
      <c r="VPE45" s="291"/>
      <c r="VPF45" s="292"/>
      <c r="VPG45" s="292"/>
      <c r="VPH45" s="292"/>
      <c r="VPI45" s="291"/>
      <c r="VPJ45" s="292"/>
      <c r="VPK45" s="292"/>
      <c r="VPL45" s="292"/>
      <c r="VPM45" s="291"/>
      <c r="VPN45" s="292"/>
      <c r="VPO45" s="292"/>
      <c r="VPP45" s="292"/>
      <c r="VPQ45" s="291"/>
      <c r="VPR45" s="292"/>
      <c r="VPS45" s="292"/>
      <c r="VPT45" s="292"/>
      <c r="VPU45" s="291"/>
      <c r="VPV45" s="292"/>
      <c r="VPW45" s="292"/>
      <c r="VPX45" s="292"/>
      <c r="VPY45" s="291"/>
      <c r="VPZ45" s="292"/>
      <c r="VQA45" s="292"/>
      <c r="VQB45" s="292"/>
      <c r="VQC45" s="291"/>
      <c r="VQD45" s="292"/>
      <c r="VQE45" s="292"/>
      <c r="VQF45" s="292"/>
      <c r="VQG45" s="291"/>
      <c r="VQH45" s="292"/>
      <c r="VQI45" s="292"/>
      <c r="VQJ45" s="292"/>
      <c r="VQK45" s="291"/>
      <c r="VQL45" s="292"/>
      <c r="VQM45" s="292"/>
      <c r="VQN45" s="292"/>
      <c r="VQO45" s="291"/>
      <c r="VQP45" s="292"/>
      <c r="VQQ45" s="292"/>
      <c r="VQR45" s="292"/>
      <c r="VQS45" s="291"/>
      <c r="VQT45" s="292"/>
      <c r="VQU45" s="292"/>
      <c r="VQV45" s="292"/>
      <c r="VQW45" s="291"/>
      <c r="VQX45" s="292"/>
      <c r="VQY45" s="292"/>
      <c r="VQZ45" s="292"/>
      <c r="VRA45" s="291"/>
      <c r="VRB45" s="292"/>
      <c r="VRC45" s="292"/>
      <c r="VRD45" s="292"/>
      <c r="VRE45" s="291"/>
      <c r="VRF45" s="292"/>
      <c r="VRG45" s="292"/>
      <c r="VRH45" s="292"/>
      <c r="VRI45" s="291"/>
      <c r="VRJ45" s="292"/>
      <c r="VRK45" s="292"/>
      <c r="VRL45" s="292"/>
      <c r="VRM45" s="291"/>
      <c r="VRN45" s="292"/>
      <c r="VRO45" s="292"/>
      <c r="VRP45" s="292"/>
      <c r="VRQ45" s="291"/>
      <c r="VRR45" s="292"/>
      <c r="VRS45" s="292"/>
      <c r="VRT45" s="292"/>
      <c r="VRU45" s="291"/>
      <c r="VRV45" s="292"/>
      <c r="VRW45" s="292"/>
      <c r="VRX45" s="292"/>
      <c r="VRY45" s="291"/>
      <c r="VRZ45" s="292"/>
      <c r="VSA45" s="292"/>
      <c r="VSB45" s="292"/>
      <c r="VSC45" s="291"/>
      <c r="VSD45" s="292"/>
      <c r="VSE45" s="292"/>
      <c r="VSF45" s="292"/>
      <c r="VSG45" s="291"/>
      <c r="VSH45" s="292"/>
      <c r="VSI45" s="292"/>
      <c r="VSJ45" s="292"/>
      <c r="VSK45" s="291"/>
      <c r="VSL45" s="292"/>
      <c r="VSM45" s="292"/>
      <c r="VSN45" s="292"/>
      <c r="VSO45" s="291"/>
      <c r="VSP45" s="292"/>
      <c r="VSQ45" s="292"/>
      <c r="VSR45" s="292"/>
      <c r="VSS45" s="291"/>
      <c r="VST45" s="292"/>
      <c r="VSU45" s="292"/>
      <c r="VSV45" s="292"/>
      <c r="VSW45" s="291"/>
      <c r="VSX45" s="292"/>
      <c r="VSY45" s="292"/>
      <c r="VSZ45" s="292"/>
      <c r="VTA45" s="291"/>
      <c r="VTB45" s="292"/>
      <c r="VTC45" s="292"/>
      <c r="VTD45" s="292"/>
      <c r="VTE45" s="291"/>
      <c r="VTF45" s="292"/>
      <c r="VTG45" s="292"/>
      <c r="VTH45" s="292"/>
      <c r="VTI45" s="291"/>
      <c r="VTJ45" s="292"/>
      <c r="VTK45" s="292"/>
      <c r="VTL45" s="292"/>
      <c r="VTM45" s="291"/>
      <c r="VTN45" s="292"/>
      <c r="VTO45" s="292"/>
      <c r="VTP45" s="292"/>
      <c r="VTQ45" s="291"/>
      <c r="VTR45" s="292"/>
      <c r="VTS45" s="292"/>
      <c r="VTT45" s="292"/>
      <c r="VTU45" s="291"/>
      <c r="VTV45" s="292"/>
      <c r="VTW45" s="292"/>
      <c r="VTX45" s="292"/>
      <c r="VTY45" s="291"/>
      <c r="VTZ45" s="292"/>
      <c r="VUA45" s="292"/>
      <c r="VUB45" s="292"/>
      <c r="VUC45" s="291"/>
      <c r="VUD45" s="292"/>
      <c r="VUE45" s="292"/>
      <c r="VUF45" s="292"/>
      <c r="VUG45" s="291"/>
      <c r="VUH45" s="292"/>
      <c r="VUI45" s="292"/>
      <c r="VUJ45" s="292"/>
      <c r="VUK45" s="291"/>
      <c r="VUL45" s="292"/>
      <c r="VUM45" s="292"/>
      <c r="VUN45" s="292"/>
      <c r="VUO45" s="291"/>
      <c r="VUP45" s="292"/>
      <c r="VUQ45" s="292"/>
      <c r="VUR45" s="292"/>
      <c r="VUS45" s="291"/>
      <c r="VUT45" s="292"/>
      <c r="VUU45" s="292"/>
      <c r="VUV45" s="292"/>
      <c r="VUW45" s="291"/>
      <c r="VUX45" s="292"/>
      <c r="VUY45" s="292"/>
      <c r="VUZ45" s="292"/>
      <c r="VVA45" s="291"/>
      <c r="VVB45" s="292"/>
      <c r="VVC45" s="292"/>
      <c r="VVD45" s="292"/>
      <c r="VVE45" s="291"/>
      <c r="VVF45" s="292"/>
      <c r="VVG45" s="292"/>
      <c r="VVH45" s="292"/>
      <c r="VVI45" s="291"/>
      <c r="VVJ45" s="292"/>
      <c r="VVK45" s="292"/>
      <c r="VVL45" s="292"/>
      <c r="VVM45" s="291"/>
      <c r="VVN45" s="292"/>
      <c r="VVO45" s="292"/>
      <c r="VVP45" s="292"/>
      <c r="VVQ45" s="291"/>
      <c r="VVR45" s="292"/>
      <c r="VVS45" s="292"/>
      <c r="VVT45" s="292"/>
      <c r="VVU45" s="291"/>
      <c r="VVV45" s="292"/>
      <c r="VVW45" s="292"/>
      <c r="VVX45" s="292"/>
      <c r="VVY45" s="291"/>
      <c r="VVZ45" s="292"/>
      <c r="VWA45" s="292"/>
      <c r="VWB45" s="292"/>
      <c r="VWC45" s="291"/>
      <c r="VWD45" s="292"/>
      <c r="VWE45" s="292"/>
      <c r="VWF45" s="292"/>
      <c r="VWG45" s="291"/>
      <c r="VWH45" s="292"/>
      <c r="VWI45" s="292"/>
      <c r="VWJ45" s="292"/>
      <c r="VWK45" s="291"/>
      <c r="VWL45" s="292"/>
      <c r="VWM45" s="292"/>
      <c r="VWN45" s="292"/>
      <c r="VWO45" s="291"/>
      <c r="VWP45" s="292"/>
      <c r="VWQ45" s="292"/>
      <c r="VWR45" s="292"/>
      <c r="VWS45" s="291"/>
      <c r="VWT45" s="292"/>
      <c r="VWU45" s="292"/>
      <c r="VWV45" s="292"/>
      <c r="VWW45" s="291"/>
      <c r="VWX45" s="292"/>
      <c r="VWY45" s="292"/>
      <c r="VWZ45" s="292"/>
      <c r="VXA45" s="291"/>
      <c r="VXB45" s="292"/>
      <c r="VXC45" s="292"/>
      <c r="VXD45" s="292"/>
      <c r="VXE45" s="291"/>
      <c r="VXF45" s="292"/>
      <c r="VXG45" s="292"/>
      <c r="VXH45" s="292"/>
      <c r="VXI45" s="291"/>
      <c r="VXJ45" s="292"/>
      <c r="VXK45" s="292"/>
      <c r="VXL45" s="292"/>
      <c r="VXM45" s="291"/>
      <c r="VXN45" s="292"/>
      <c r="VXO45" s="292"/>
      <c r="VXP45" s="292"/>
      <c r="VXQ45" s="291"/>
      <c r="VXR45" s="292"/>
      <c r="VXS45" s="292"/>
      <c r="VXT45" s="292"/>
      <c r="VXU45" s="291"/>
      <c r="VXV45" s="292"/>
      <c r="VXW45" s="292"/>
      <c r="VXX45" s="292"/>
      <c r="VXY45" s="291"/>
      <c r="VXZ45" s="292"/>
      <c r="VYA45" s="292"/>
      <c r="VYB45" s="292"/>
      <c r="VYC45" s="291"/>
      <c r="VYD45" s="292"/>
      <c r="VYE45" s="292"/>
      <c r="VYF45" s="292"/>
      <c r="VYG45" s="291"/>
      <c r="VYH45" s="292"/>
      <c r="VYI45" s="292"/>
      <c r="VYJ45" s="292"/>
      <c r="VYK45" s="291"/>
      <c r="VYL45" s="292"/>
      <c r="VYM45" s="292"/>
      <c r="VYN45" s="292"/>
      <c r="VYO45" s="291"/>
      <c r="VYP45" s="292"/>
      <c r="VYQ45" s="292"/>
      <c r="VYR45" s="292"/>
      <c r="VYS45" s="291"/>
      <c r="VYT45" s="292"/>
      <c r="VYU45" s="292"/>
      <c r="VYV45" s="292"/>
      <c r="VYW45" s="291"/>
      <c r="VYX45" s="292"/>
      <c r="VYY45" s="292"/>
      <c r="VYZ45" s="292"/>
      <c r="VZA45" s="291"/>
      <c r="VZB45" s="292"/>
      <c r="VZC45" s="292"/>
      <c r="VZD45" s="292"/>
      <c r="VZE45" s="291"/>
      <c r="VZF45" s="292"/>
      <c r="VZG45" s="292"/>
      <c r="VZH45" s="292"/>
      <c r="VZI45" s="291"/>
      <c r="VZJ45" s="292"/>
      <c r="VZK45" s="292"/>
      <c r="VZL45" s="292"/>
      <c r="VZM45" s="291"/>
      <c r="VZN45" s="292"/>
      <c r="VZO45" s="292"/>
      <c r="VZP45" s="292"/>
      <c r="VZQ45" s="291"/>
      <c r="VZR45" s="292"/>
      <c r="VZS45" s="292"/>
      <c r="VZT45" s="292"/>
      <c r="VZU45" s="291"/>
      <c r="VZV45" s="292"/>
      <c r="VZW45" s="292"/>
      <c r="VZX45" s="292"/>
      <c r="VZY45" s="291"/>
      <c r="VZZ45" s="292"/>
      <c r="WAA45" s="292"/>
      <c r="WAB45" s="292"/>
      <c r="WAC45" s="291"/>
      <c r="WAD45" s="292"/>
      <c r="WAE45" s="292"/>
      <c r="WAF45" s="292"/>
      <c r="WAG45" s="291"/>
      <c r="WAH45" s="292"/>
      <c r="WAI45" s="292"/>
      <c r="WAJ45" s="292"/>
      <c r="WAK45" s="291"/>
      <c r="WAL45" s="292"/>
      <c r="WAM45" s="292"/>
      <c r="WAN45" s="292"/>
      <c r="WAO45" s="291"/>
      <c r="WAP45" s="292"/>
      <c r="WAQ45" s="292"/>
      <c r="WAR45" s="292"/>
      <c r="WAS45" s="291"/>
      <c r="WAT45" s="292"/>
      <c r="WAU45" s="292"/>
      <c r="WAV45" s="292"/>
      <c r="WAW45" s="291"/>
      <c r="WAX45" s="292"/>
      <c r="WAY45" s="292"/>
      <c r="WAZ45" s="292"/>
      <c r="WBA45" s="291"/>
      <c r="WBB45" s="292"/>
      <c r="WBC45" s="292"/>
      <c r="WBD45" s="292"/>
      <c r="WBE45" s="291"/>
      <c r="WBF45" s="292"/>
      <c r="WBG45" s="292"/>
      <c r="WBH45" s="292"/>
      <c r="WBI45" s="291"/>
      <c r="WBJ45" s="292"/>
      <c r="WBK45" s="292"/>
      <c r="WBL45" s="292"/>
      <c r="WBM45" s="291"/>
      <c r="WBN45" s="292"/>
      <c r="WBO45" s="292"/>
      <c r="WBP45" s="292"/>
      <c r="WBQ45" s="291"/>
      <c r="WBR45" s="292"/>
      <c r="WBS45" s="292"/>
      <c r="WBT45" s="292"/>
      <c r="WBU45" s="291"/>
      <c r="WBV45" s="292"/>
      <c r="WBW45" s="292"/>
      <c r="WBX45" s="292"/>
      <c r="WBY45" s="291"/>
      <c r="WBZ45" s="292"/>
      <c r="WCA45" s="292"/>
      <c r="WCB45" s="292"/>
      <c r="WCC45" s="291"/>
      <c r="WCD45" s="292"/>
      <c r="WCE45" s="292"/>
      <c r="WCF45" s="292"/>
      <c r="WCG45" s="291"/>
      <c r="WCH45" s="292"/>
      <c r="WCI45" s="292"/>
      <c r="WCJ45" s="292"/>
      <c r="WCK45" s="291"/>
      <c r="WCL45" s="292"/>
      <c r="WCM45" s="292"/>
      <c r="WCN45" s="292"/>
      <c r="WCO45" s="291"/>
      <c r="WCP45" s="292"/>
      <c r="WCQ45" s="292"/>
      <c r="WCR45" s="292"/>
      <c r="WCS45" s="291"/>
      <c r="WCT45" s="292"/>
      <c r="WCU45" s="292"/>
      <c r="WCV45" s="292"/>
      <c r="WCW45" s="291"/>
      <c r="WCX45" s="292"/>
      <c r="WCY45" s="292"/>
      <c r="WCZ45" s="292"/>
      <c r="WDA45" s="291"/>
      <c r="WDB45" s="292"/>
      <c r="WDC45" s="292"/>
      <c r="WDD45" s="292"/>
      <c r="WDE45" s="291"/>
      <c r="WDF45" s="292"/>
      <c r="WDG45" s="292"/>
      <c r="WDH45" s="292"/>
      <c r="WDI45" s="291"/>
      <c r="WDJ45" s="292"/>
      <c r="WDK45" s="292"/>
      <c r="WDL45" s="292"/>
      <c r="WDM45" s="291"/>
      <c r="WDN45" s="292"/>
      <c r="WDO45" s="292"/>
      <c r="WDP45" s="292"/>
      <c r="WDQ45" s="291"/>
      <c r="WDR45" s="292"/>
      <c r="WDS45" s="292"/>
      <c r="WDT45" s="292"/>
      <c r="WDU45" s="291"/>
      <c r="WDV45" s="292"/>
      <c r="WDW45" s="292"/>
      <c r="WDX45" s="292"/>
      <c r="WDY45" s="291"/>
      <c r="WDZ45" s="292"/>
      <c r="WEA45" s="292"/>
      <c r="WEB45" s="292"/>
      <c r="WEC45" s="291"/>
      <c r="WED45" s="292"/>
      <c r="WEE45" s="292"/>
      <c r="WEF45" s="292"/>
      <c r="WEG45" s="291"/>
      <c r="WEH45" s="292"/>
      <c r="WEI45" s="292"/>
      <c r="WEJ45" s="292"/>
      <c r="WEK45" s="291"/>
      <c r="WEL45" s="292"/>
      <c r="WEM45" s="292"/>
      <c r="WEN45" s="292"/>
      <c r="WEO45" s="291"/>
      <c r="WEP45" s="292"/>
      <c r="WEQ45" s="292"/>
      <c r="WER45" s="292"/>
      <c r="WES45" s="291"/>
      <c r="WET45" s="292"/>
      <c r="WEU45" s="292"/>
      <c r="WEV45" s="292"/>
      <c r="WEW45" s="291"/>
      <c r="WEX45" s="292"/>
      <c r="WEY45" s="292"/>
      <c r="WEZ45" s="292"/>
      <c r="WFA45" s="291"/>
      <c r="WFB45" s="292"/>
      <c r="WFC45" s="292"/>
      <c r="WFD45" s="292"/>
      <c r="WFE45" s="291"/>
      <c r="WFF45" s="292"/>
      <c r="WFG45" s="292"/>
      <c r="WFH45" s="292"/>
      <c r="WFI45" s="291"/>
      <c r="WFJ45" s="292"/>
      <c r="WFK45" s="292"/>
      <c r="WFL45" s="292"/>
      <c r="WFM45" s="291"/>
      <c r="WFN45" s="292"/>
      <c r="WFO45" s="292"/>
      <c r="WFP45" s="292"/>
      <c r="WFQ45" s="291"/>
      <c r="WFR45" s="292"/>
      <c r="WFS45" s="292"/>
      <c r="WFT45" s="292"/>
      <c r="WFU45" s="291"/>
      <c r="WFV45" s="292"/>
      <c r="WFW45" s="292"/>
      <c r="WFX45" s="292"/>
      <c r="WFY45" s="291"/>
      <c r="WFZ45" s="292"/>
      <c r="WGA45" s="292"/>
      <c r="WGB45" s="292"/>
      <c r="WGC45" s="291"/>
      <c r="WGD45" s="292"/>
      <c r="WGE45" s="292"/>
      <c r="WGF45" s="292"/>
      <c r="WGG45" s="291"/>
      <c r="WGH45" s="292"/>
      <c r="WGI45" s="292"/>
      <c r="WGJ45" s="292"/>
      <c r="WGK45" s="291"/>
      <c r="WGL45" s="292"/>
      <c r="WGM45" s="292"/>
      <c r="WGN45" s="292"/>
      <c r="WGO45" s="291"/>
      <c r="WGP45" s="292"/>
      <c r="WGQ45" s="292"/>
      <c r="WGR45" s="292"/>
      <c r="WGS45" s="291"/>
      <c r="WGT45" s="292"/>
      <c r="WGU45" s="292"/>
      <c r="WGV45" s="292"/>
      <c r="WGW45" s="291"/>
      <c r="WGX45" s="292"/>
      <c r="WGY45" s="292"/>
      <c r="WGZ45" s="292"/>
      <c r="WHA45" s="291"/>
      <c r="WHB45" s="292"/>
      <c r="WHC45" s="292"/>
      <c r="WHD45" s="292"/>
      <c r="WHE45" s="291"/>
      <c r="WHF45" s="292"/>
      <c r="WHG45" s="292"/>
      <c r="WHH45" s="292"/>
      <c r="WHI45" s="291"/>
      <c r="WHJ45" s="292"/>
      <c r="WHK45" s="292"/>
      <c r="WHL45" s="292"/>
      <c r="WHM45" s="291"/>
      <c r="WHN45" s="292"/>
      <c r="WHO45" s="292"/>
      <c r="WHP45" s="292"/>
      <c r="WHQ45" s="291"/>
      <c r="WHR45" s="292"/>
      <c r="WHS45" s="292"/>
      <c r="WHT45" s="292"/>
      <c r="WHU45" s="291"/>
      <c r="WHV45" s="292"/>
      <c r="WHW45" s="292"/>
      <c r="WHX45" s="292"/>
      <c r="WHY45" s="291"/>
      <c r="WHZ45" s="292"/>
      <c r="WIA45" s="292"/>
      <c r="WIB45" s="292"/>
      <c r="WIC45" s="291"/>
      <c r="WID45" s="292"/>
      <c r="WIE45" s="292"/>
      <c r="WIF45" s="292"/>
      <c r="WIG45" s="291"/>
      <c r="WIH45" s="292"/>
      <c r="WII45" s="292"/>
      <c r="WIJ45" s="292"/>
      <c r="WIK45" s="291"/>
      <c r="WIL45" s="292"/>
      <c r="WIM45" s="292"/>
      <c r="WIN45" s="292"/>
      <c r="WIO45" s="291"/>
      <c r="WIP45" s="292"/>
      <c r="WIQ45" s="292"/>
      <c r="WIR45" s="292"/>
      <c r="WIS45" s="291"/>
      <c r="WIT45" s="292"/>
      <c r="WIU45" s="292"/>
      <c r="WIV45" s="292"/>
      <c r="WIW45" s="291"/>
      <c r="WIX45" s="292"/>
      <c r="WIY45" s="292"/>
      <c r="WIZ45" s="292"/>
      <c r="WJA45" s="291"/>
      <c r="WJB45" s="292"/>
      <c r="WJC45" s="292"/>
      <c r="WJD45" s="292"/>
      <c r="WJE45" s="291"/>
      <c r="WJF45" s="292"/>
      <c r="WJG45" s="292"/>
      <c r="WJH45" s="292"/>
      <c r="WJI45" s="291"/>
      <c r="WJJ45" s="292"/>
      <c r="WJK45" s="292"/>
      <c r="WJL45" s="292"/>
      <c r="WJM45" s="291"/>
      <c r="WJN45" s="292"/>
      <c r="WJO45" s="292"/>
      <c r="WJP45" s="292"/>
      <c r="WJQ45" s="291"/>
      <c r="WJR45" s="292"/>
      <c r="WJS45" s="292"/>
      <c r="WJT45" s="292"/>
      <c r="WJU45" s="291"/>
      <c r="WJV45" s="292"/>
      <c r="WJW45" s="292"/>
      <c r="WJX45" s="292"/>
      <c r="WJY45" s="291"/>
      <c r="WJZ45" s="292"/>
      <c r="WKA45" s="292"/>
      <c r="WKB45" s="292"/>
      <c r="WKC45" s="291"/>
      <c r="WKD45" s="292"/>
      <c r="WKE45" s="292"/>
      <c r="WKF45" s="292"/>
      <c r="WKG45" s="291"/>
      <c r="WKH45" s="292"/>
      <c r="WKI45" s="292"/>
      <c r="WKJ45" s="292"/>
      <c r="WKK45" s="291"/>
      <c r="WKL45" s="292"/>
      <c r="WKM45" s="292"/>
      <c r="WKN45" s="292"/>
      <c r="WKO45" s="291"/>
      <c r="WKP45" s="292"/>
      <c r="WKQ45" s="292"/>
      <c r="WKR45" s="292"/>
      <c r="WKS45" s="291"/>
      <c r="WKT45" s="292"/>
      <c r="WKU45" s="292"/>
      <c r="WKV45" s="292"/>
      <c r="WKW45" s="291"/>
      <c r="WKX45" s="292"/>
      <c r="WKY45" s="292"/>
      <c r="WKZ45" s="292"/>
      <c r="WLA45" s="291"/>
      <c r="WLB45" s="292"/>
      <c r="WLC45" s="292"/>
      <c r="WLD45" s="292"/>
      <c r="WLE45" s="291"/>
      <c r="WLF45" s="292"/>
      <c r="WLG45" s="292"/>
      <c r="WLH45" s="292"/>
      <c r="WLI45" s="291"/>
      <c r="WLJ45" s="292"/>
      <c r="WLK45" s="292"/>
      <c r="WLL45" s="292"/>
      <c r="WLM45" s="291"/>
      <c r="WLN45" s="292"/>
      <c r="WLO45" s="292"/>
      <c r="WLP45" s="292"/>
      <c r="WLQ45" s="291"/>
      <c r="WLR45" s="292"/>
      <c r="WLS45" s="292"/>
      <c r="WLT45" s="292"/>
      <c r="WLU45" s="291"/>
      <c r="WLV45" s="292"/>
      <c r="WLW45" s="292"/>
      <c r="WLX45" s="292"/>
      <c r="WLY45" s="291"/>
      <c r="WLZ45" s="292"/>
      <c r="WMA45" s="292"/>
      <c r="WMB45" s="292"/>
      <c r="WMC45" s="291"/>
      <c r="WMD45" s="292"/>
      <c r="WME45" s="292"/>
      <c r="WMF45" s="292"/>
      <c r="WMG45" s="291"/>
      <c r="WMH45" s="292"/>
      <c r="WMI45" s="292"/>
      <c r="WMJ45" s="292"/>
      <c r="WMK45" s="291"/>
      <c r="WML45" s="292"/>
      <c r="WMM45" s="292"/>
      <c r="WMN45" s="292"/>
      <c r="WMO45" s="291"/>
      <c r="WMP45" s="292"/>
      <c r="WMQ45" s="292"/>
      <c r="WMR45" s="292"/>
      <c r="WMS45" s="291"/>
      <c r="WMT45" s="292"/>
      <c r="WMU45" s="292"/>
      <c r="WMV45" s="292"/>
      <c r="WMW45" s="291"/>
      <c r="WMX45" s="292"/>
      <c r="WMY45" s="292"/>
      <c r="WMZ45" s="292"/>
      <c r="WNA45" s="291"/>
      <c r="WNB45" s="292"/>
      <c r="WNC45" s="292"/>
      <c r="WND45" s="292"/>
      <c r="WNE45" s="291"/>
      <c r="WNF45" s="292"/>
      <c r="WNG45" s="292"/>
      <c r="WNH45" s="292"/>
      <c r="WNI45" s="291"/>
      <c r="WNJ45" s="292"/>
      <c r="WNK45" s="292"/>
      <c r="WNL45" s="292"/>
      <c r="WNM45" s="291"/>
      <c r="WNN45" s="292"/>
      <c r="WNO45" s="292"/>
      <c r="WNP45" s="292"/>
      <c r="WNQ45" s="291"/>
      <c r="WNR45" s="292"/>
      <c r="WNS45" s="292"/>
      <c r="WNT45" s="292"/>
      <c r="WNU45" s="291"/>
      <c r="WNV45" s="292"/>
      <c r="WNW45" s="292"/>
      <c r="WNX45" s="292"/>
      <c r="WNY45" s="291"/>
      <c r="WNZ45" s="292"/>
      <c r="WOA45" s="292"/>
      <c r="WOB45" s="292"/>
      <c r="WOC45" s="291"/>
      <c r="WOD45" s="292"/>
      <c r="WOE45" s="292"/>
      <c r="WOF45" s="292"/>
      <c r="WOG45" s="291"/>
      <c r="WOH45" s="292"/>
      <c r="WOI45" s="292"/>
      <c r="WOJ45" s="292"/>
      <c r="WOK45" s="291"/>
      <c r="WOL45" s="292"/>
      <c r="WOM45" s="292"/>
      <c r="WON45" s="292"/>
      <c r="WOO45" s="291"/>
      <c r="WOP45" s="292"/>
      <c r="WOQ45" s="292"/>
      <c r="WOR45" s="292"/>
      <c r="WOS45" s="291"/>
      <c r="WOT45" s="292"/>
      <c r="WOU45" s="292"/>
      <c r="WOV45" s="292"/>
      <c r="WOW45" s="291"/>
      <c r="WOX45" s="292"/>
      <c r="WOY45" s="292"/>
      <c r="WOZ45" s="292"/>
      <c r="WPA45" s="291"/>
      <c r="WPB45" s="292"/>
      <c r="WPC45" s="292"/>
      <c r="WPD45" s="292"/>
      <c r="WPE45" s="291"/>
      <c r="WPF45" s="292"/>
      <c r="WPG45" s="292"/>
      <c r="WPH45" s="292"/>
      <c r="WPI45" s="291"/>
      <c r="WPJ45" s="292"/>
      <c r="WPK45" s="292"/>
      <c r="WPL45" s="292"/>
      <c r="WPM45" s="291"/>
      <c r="WPN45" s="292"/>
      <c r="WPO45" s="292"/>
      <c r="WPP45" s="292"/>
      <c r="WPQ45" s="291"/>
      <c r="WPR45" s="292"/>
      <c r="WPS45" s="292"/>
      <c r="WPT45" s="292"/>
      <c r="WPU45" s="291"/>
      <c r="WPV45" s="292"/>
      <c r="WPW45" s="292"/>
      <c r="WPX45" s="292"/>
      <c r="WPY45" s="291"/>
      <c r="WPZ45" s="292"/>
      <c r="WQA45" s="292"/>
      <c r="WQB45" s="292"/>
      <c r="WQC45" s="291"/>
      <c r="WQD45" s="292"/>
      <c r="WQE45" s="292"/>
      <c r="WQF45" s="292"/>
      <c r="WQG45" s="291"/>
      <c r="WQH45" s="292"/>
      <c r="WQI45" s="292"/>
      <c r="WQJ45" s="292"/>
      <c r="WQK45" s="291"/>
      <c r="WQL45" s="292"/>
      <c r="WQM45" s="292"/>
      <c r="WQN45" s="292"/>
      <c r="WQO45" s="291"/>
      <c r="WQP45" s="292"/>
      <c r="WQQ45" s="292"/>
      <c r="WQR45" s="292"/>
      <c r="WQS45" s="291"/>
      <c r="WQT45" s="292"/>
      <c r="WQU45" s="292"/>
      <c r="WQV45" s="292"/>
      <c r="WQW45" s="291"/>
      <c r="WQX45" s="292"/>
      <c r="WQY45" s="292"/>
      <c r="WQZ45" s="292"/>
      <c r="WRA45" s="291"/>
      <c r="WRB45" s="292"/>
      <c r="WRC45" s="292"/>
      <c r="WRD45" s="292"/>
      <c r="WRE45" s="291"/>
      <c r="WRF45" s="292"/>
      <c r="WRG45" s="292"/>
      <c r="WRH45" s="292"/>
      <c r="WRI45" s="291"/>
      <c r="WRJ45" s="292"/>
      <c r="WRK45" s="292"/>
      <c r="WRL45" s="292"/>
      <c r="WRM45" s="291"/>
      <c r="WRN45" s="292"/>
      <c r="WRO45" s="292"/>
      <c r="WRP45" s="292"/>
      <c r="WRQ45" s="291"/>
      <c r="WRR45" s="292"/>
      <c r="WRS45" s="292"/>
      <c r="WRT45" s="292"/>
      <c r="WRU45" s="291"/>
      <c r="WRV45" s="292"/>
      <c r="WRW45" s="292"/>
      <c r="WRX45" s="292"/>
      <c r="WRY45" s="291"/>
      <c r="WRZ45" s="292"/>
      <c r="WSA45" s="292"/>
      <c r="WSB45" s="292"/>
      <c r="WSC45" s="291"/>
      <c r="WSD45" s="292"/>
      <c r="WSE45" s="292"/>
      <c r="WSF45" s="292"/>
      <c r="WSG45" s="291"/>
      <c r="WSH45" s="292"/>
      <c r="WSI45" s="292"/>
      <c r="WSJ45" s="292"/>
      <c r="WSK45" s="291"/>
      <c r="WSL45" s="292"/>
      <c r="WSM45" s="292"/>
      <c r="WSN45" s="292"/>
      <c r="WSO45" s="291"/>
      <c r="WSP45" s="292"/>
      <c r="WSQ45" s="292"/>
      <c r="WSR45" s="292"/>
      <c r="WSS45" s="291"/>
      <c r="WST45" s="292"/>
      <c r="WSU45" s="292"/>
      <c r="WSV45" s="292"/>
      <c r="WSW45" s="291"/>
      <c r="WSX45" s="292"/>
      <c r="WSY45" s="292"/>
      <c r="WSZ45" s="292"/>
      <c r="WTA45" s="291"/>
      <c r="WTB45" s="292"/>
      <c r="WTC45" s="292"/>
      <c r="WTD45" s="292"/>
      <c r="WTE45" s="291"/>
      <c r="WTF45" s="292"/>
      <c r="WTG45" s="292"/>
      <c r="WTH45" s="292"/>
      <c r="WTI45" s="291"/>
      <c r="WTJ45" s="292"/>
      <c r="WTK45" s="292"/>
      <c r="WTL45" s="292"/>
      <c r="WTM45" s="291"/>
      <c r="WTN45" s="292"/>
      <c r="WTO45" s="292"/>
      <c r="WTP45" s="292"/>
      <c r="WTQ45" s="291"/>
      <c r="WTR45" s="292"/>
      <c r="WTS45" s="292"/>
      <c r="WTT45" s="292"/>
      <c r="WTU45" s="291"/>
      <c r="WTV45" s="292"/>
      <c r="WTW45" s="292"/>
      <c r="WTX45" s="292"/>
      <c r="WTY45" s="291"/>
      <c r="WTZ45" s="292"/>
      <c r="WUA45" s="292"/>
      <c r="WUB45" s="292"/>
      <c r="WUC45" s="291"/>
      <c r="WUD45" s="292"/>
      <c r="WUE45" s="292"/>
      <c r="WUF45" s="292"/>
      <c r="WUG45" s="291"/>
      <c r="WUH45" s="292"/>
      <c r="WUI45" s="292"/>
      <c r="WUJ45" s="292"/>
      <c r="WUK45" s="291"/>
      <c r="WUL45" s="292"/>
      <c r="WUM45" s="292"/>
      <c r="WUN45" s="292"/>
      <c r="WUO45" s="291"/>
      <c r="WUP45" s="292"/>
      <c r="WUQ45" s="292"/>
      <c r="WUR45" s="292"/>
      <c r="WUS45" s="291"/>
      <c r="WUT45" s="292"/>
      <c r="WUU45" s="292"/>
      <c r="WUV45" s="292"/>
      <c r="WUW45" s="291"/>
      <c r="WUX45" s="292"/>
      <c r="WUY45" s="292"/>
      <c r="WUZ45" s="292"/>
      <c r="WVA45" s="291"/>
      <c r="WVB45" s="292"/>
      <c r="WVC45" s="292"/>
      <c r="WVD45" s="292"/>
      <c r="WVE45" s="291"/>
      <c r="WVF45" s="292"/>
      <c r="WVG45" s="292"/>
      <c r="WVH45" s="292"/>
      <c r="WVI45" s="291"/>
      <c r="WVJ45" s="292"/>
      <c r="WVK45" s="292"/>
      <c r="WVL45" s="292"/>
      <c r="WVM45" s="291"/>
      <c r="WVN45" s="292"/>
      <c r="WVO45" s="292"/>
      <c r="WVP45" s="292"/>
      <c r="WVQ45" s="291"/>
      <c r="WVR45" s="292"/>
      <c r="WVS45" s="292"/>
      <c r="WVT45" s="292"/>
      <c r="WVU45" s="291"/>
      <c r="WVV45" s="292"/>
      <c r="WVW45" s="292"/>
      <c r="WVX45" s="292"/>
      <c r="WVY45" s="291"/>
      <c r="WVZ45" s="292"/>
      <c r="WWA45" s="292"/>
      <c r="WWB45" s="292"/>
      <c r="WWC45" s="291"/>
      <c r="WWD45" s="292"/>
      <c r="WWE45" s="292"/>
      <c r="WWF45" s="292"/>
      <c r="WWG45" s="291"/>
      <c r="WWH45" s="292"/>
      <c r="WWI45" s="292"/>
      <c r="WWJ45" s="292"/>
      <c r="WWK45" s="291"/>
      <c r="WWL45" s="292"/>
      <c r="WWM45" s="292"/>
      <c r="WWN45" s="292"/>
      <c r="WWO45" s="291"/>
      <c r="WWP45" s="292"/>
      <c r="WWQ45" s="292"/>
      <c r="WWR45" s="292"/>
      <c r="WWS45" s="291"/>
      <c r="WWT45" s="292"/>
      <c r="WWU45" s="292"/>
      <c r="WWV45" s="292"/>
      <c r="WWW45" s="291"/>
      <c r="WWX45" s="292"/>
      <c r="WWY45" s="292"/>
      <c r="WWZ45" s="292"/>
      <c r="WXA45" s="291"/>
      <c r="WXB45" s="292"/>
      <c r="WXC45" s="292"/>
      <c r="WXD45" s="292"/>
      <c r="WXE45" s="291"/>
      <c r="WXF45" s="292"/>
      <c r="WXG45" s="292"/>
      <c r="WXH45" s="292"/>
      <c r="WXI45" s="291"/>
      <c r="WXJ45" s="292"/>
      <c r="WXK45" s="292"/>
      <c r="WXL45" s="292"/>
      <c r="WXM45" s="291"/>
      <c r="WXN45" s="292"/>
      <c r="WXO45" s="292"/>
      <c r="WXP45" s="292"/>
      <c r="WXQ45" s="291"/>
      <c r="WXR45" s="292"/>
      <c r="WXS45" s="292"/>
      <c r="WXT45" s="292"/>
      <c r="WXU45" s="291"/>
      <c r="WXV45" s="292"/>
      <c r="WXW45" s="292"/>
      <c r="WXX45" s="292"/>
      <c r="WXY45" s="291"/>
      <c r="WXZ45" s="292"/>
      <c r="WYA45" s="292"/>
      <c r="WYB45" s="292"/>
      <c r="WYC45" s="291"/>
      <c r="WYD45" s="292"/>
      <c r="WYE45" s="292"/>
      <c r="WYF45" s="292"/>
      <c r="WYG45" s="291"/>
      <c r="WYH45" s="292"/>
      <c r="WYI45" s="292"/>
      <c r="WYJ45" s="292"/>
      <c r="WYK45" s="291"/>
      <c r="WYL45" s="292"/>
      <c r="WYM45" s="292"/>
      <c r="WYN45" s="292"/>
      <c r="WYO45" s="291"/>
      <c r="WYP45" s="292"/>
      <c r="WYQ45" s="292"/>
      <c r="WYR45" s="292"/>
      <c r="WYS45" s="291"/>
      <c r="WYT45" s="292"/>
      <c r="WYU45" s="292"/>
      <c r="WYV45" s="292"/>
      <c r="WYW45" s="291"/>
      <c r="WYX45" s="292"/>
      <c r="WYY45" s="292"/>
      <c r="WYZ45" s="292"/>
      <c r="WZA45" s="291"/>
      <c r="WZB45" s="292"/>
      <c r="WZC45" s="292"/>
      <c r="WZD45" s="292"/>
      <c r="WZE45" s="291"/>
      <c r="WZF45" s="292"/>
      <c r="WZG45" s="292"/>
      <c r="WZH45" s="292"/>
      <c r="WZI45" s="291"/>
      <c r="WZJ45" s="292"/>
      <c r="WZK45" s="292"/>
      <c r="WZL45" s="292"/>
      <c r="WZM45" s="291"/>
      <c r="WZN45" s="292"/>
      <c r="WZO45" s="292"/>
      <c r="WZP45" s="292"/>
      <c r="WZQ45" s="291"/>
      <c r="WZR45" s="292"/>
      <c r="WZS45" s="292"/>
      <c r="WZT45" s="292"/>
      <c r="WZU45" s="291"/>
      <c r="WZV45" s="292"/>
      <c r="WZW45" s="292"/>
      <c r="WZX45" s="292"/>
      <c r="WZY45" s="291"/>
      <c r="WZZ45" s="292"/>
      <c r="XAA45" s="292"/>
      <c r="XAB45" s="292"/>
      <c r="XAC45" s="291"/>
      <c r="XAD45" s="292"/>
      <c r="XAE45" s="292"/>
      <c r="XAF45" s="292"/>
      <c r="XAG45" s="291"/>
      <c r="XAH45" s="292"/>
      <c r="XAI45" s="292"/>
      <c r="XAJ45" s="292"/>
      <c r="XAK45" s="291"/>
      <c r="XAL45" s="292"/>
      <c r="XAM45" s="292"/>
      <c r="XAN45" s="292"/>
      <c r="XAO45" s="291"/>
      <c r="XAP45" s="292"/>
      <c r="XAQ45" s="292"/>
      <c r="XAR45" s="292"/>
      <c r="XAS45" s="291"/>
      <c r="XAT45" s="292"/>
      <c r="XAU45" s="292"/>
      <c r="XAV45" s="292"/>
      <c r="XAW45" s="291"/>
      <c r="XAX45" s="292"/>
      <c r="XAY45" s="292"/>
      <c r="XAZ45" s="292"/>
      <c r="XBA45" s="291"/>
      <c r="XBB45" s="292"/>
      <c r="XBC45" s="292"/>
      <c r="XBD45" s="292"/>
      <c r="XBE45" s="291"/>
      <c r="XBF45" s="292"/>
      <c r="XBG45" s="292"/>
      <c r="XBH45" s="292"/>
      <c r="XBI45" s="291"/>
      <c r="XBJ45" s="292"/>
      <c r="XBK45" s="292"/>
      <c r="XBL45" s="292"/>
      <c r="XBM45" s="291"/>
      <c r="XBN45" s="292"/>
      <c r="XBO45" s="292"/>
      <c r="XBP45" s="292"/>
      <c r="XBQ45" s="291"/>
      <c r="XBR45" s="292"/>
      <c r="XBS45" s="292"/>
      <c r="XBT45" s="292"/>
      <c r="XBU45" s="291"/>
      <c r="XBV45" s="292"/>
      <c r="XBW45" s="292"/>
      <c r="XBX45" s="292"/>
      <c r="XBY45" s="291"/>
      <c r="XBZ45" s="292"/>
      <c r="XCA45" s="292"/>
      <c r="XCB45" s="292"/>
      <c r="XCC45" s="291"/>
      <c r="XCD45" s="292"/>
      <c r="XCE45" s="292"/>
      <c r="XCF45" s="292"/>
      <c r="XCG45" s="291"/>
      <c r="XCH45" s="292"/>
      <c r="XCI45" s="292"/>
      <c r="XCJ45" s="292"/>
      <c r="XCK45" s="291"/>
      <c r="XCL45" s="292"/>
      <c r="XCM45" s="292"/>
      <c r="XCN45" s="292"/>
      <c r="XCO45" s="291"/>
      <c r="XCP45" s="292"/>
      <c r="XCQ45" s="292"/>
      <c r="XCR45" s="292"/>
      <c r="XCS45" s="291"/>
      <c r="XCT45" s="292"/>
      <c r="XCU45" s="292"/>
      <c r="XCV45" s="292"/>
      <c r="XCW45" s="291"/>
      <c r="XCX45" s="292"/>
      <c r="XCY45" s="292"/>
      <c r="XCZ45" s="292"/>
      <c r="XDA45" s="291"/>
      <c r="XDB45" s="292"/>
      <c r="XDC45" s="292"/>
      <c r="XDD45" s="292"/>
      <c r="XDE45" s="291"/>
      <c r="XDF45" s="292"/>
      <c r="XDG45" s="292"/>
      <c r="XDH45" s="292"/>
      <c r="XDI45" s="291"/>
      <c r="XDJ45" s="292"/>
      <c r="XDK45" s="292"/>
      <c r="XDL45" s="292"/>
      <c r="XDM45" s="291"/>
      <c r="XDN45" s="292"/>
      <c r="XDO45" s="292"/>
      <c r="XDP45" s="292"/>
      <c r="XDQ45" s="291"/>
      <c r="XDR45" s="292"/>
      <c r="XDS45" s="292"/>
      <c r="XDT45" s="292"/>
      <c r="XDU45" s="291"/>
      <c r="XDV45" s="292"/>
      <c r="XDW45" s="292"/>
      <c r="XDX45" s="292"/>
      <c r="XDY45" s="291"/>
      <c r="XDZ45" s="292"/>
      <c r="XEA45" s="292"/>
      <c r="XEB45" s="292"/>
      <c r="XEC45" s="291"/>
      <c r="XED45" s="292"/>
      <c r="XEE45" s="292"/>
      <c r="XEF45" s="292"/>
      <c r="XEG45" s="291"/>
      <c r="XEH45" s="292"/>
      <c r="XEI45" s="292"/>
      <c r="XEJ45" s="292"/>
      <c r="XEK45" s="291"/>
      <c r="XEL45" s="292"/>
      <c r="XEM45" s="292"/>
      <c r="XEN45" s="292"/>
      <c r="XEO45" s="291"/>
      <c r="XEP45" s="292"/>
      <c r="XEQ45" s="292"/>
      <c r="XER45" s="292"/>
      <c r="XES45" s="291"/>
      <c r="XET45" s="292"/>
      <c r="XEU45" s="292"/>
      <c r="XEV45" s="292"/>
      <c r="XEW45" s="291"/>
      <c r="XEX45" s="292"/>
      <c r="XEY45" s="292"/>
      <c r="XEZ45" s="292"/>
      <c r="XFA45" s="291"/>
      <c r="XFB45" s="292"/>
      <c r="XFC45" s="292"/>
      <c r="XFD45" s="292"/>
    </row>
    <row r="46" spans="1:16384" s="8" customFormat="1" ht="51" customHeight="1">
      <c r="A46" s="1683" t="s">
        <v>309</v>
      </c>
      <c r="B46" s="1684"/>
      <c r="C46" s="1684"/>
      <c r="D46" s="1684"/>
      <c r="E46" s="1684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16384" s="8" customFormat="1" ht="25.5" customHeight="1">
      <c r="A47" s="1677"/>
      <c r="B47" s="1677"/>
      <c r="C47" s="1677"/>
      <c r="D47" s="1677"/>
      <c r="E47" s="167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16384" s="8" customFormat="1">
      <c r="A48" s="1678"/>
      <c r="B48" s="1678"/>
      <c r="C48" s="1678"/>
      <c r="D48" s="1678"/>
      <c r="E48" s="167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s="8" customFormat="1">
      <c r="A49" s="56"/>
      <c r="B49" s="56"/>
      <c r="C49" s="290"/>
      <c r="D49" s="290"/>
      <c r="E49" s="56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s="8" customFormat="1">
      <c r="A50" s="56"/>
      <c r="B50" s="56"/>
      <c r="C50" s="290"/>
      <c r="D50" s="290"/>
      <c r="E50" s="56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s="8" customFormat="1">
      <c r="A51" s="56"/>
      <c r="B51" s="56"/>
      <c r="C51" s="290"/>
      <c r="D51" s="290"/>
      <c r="E51" s="5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s="8" customFormat="1">
      <c r="A52" s="56"/>
      <c r="B52" s="56"/>
      <c r="C52" s="290"/>
      <c r="D52" s="290"/>
      <c r="E52" s="56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s="8" customFormat="1">
      <c r="A53" s="57"/>
      <c r="B53" s="58"/>
      <c r="C53" s="58"/>
      <c r="D53" s="58"/>
      <c r="E53" s="59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s="8" customFormat="1">
      <c r="A54" s="60"/>
      <c r="B54" s="60"/>
      <c r="C54" s="60"/>
      <c r="D54" s="60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s="8" customFormat="1">
      <c r="A55" s="60"/>
      <c r="B55" s="60"/>
      <c r="C55" s="60"/>
      <c r="D55" s="60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s="8" customFormat="1">
      <c r="A56" s="60"/>
      <c r="B56" s="60"/>
      <c r="C56" s="60"/>
      <c r="D56" s="60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s="8" customFormat="1">
      <c r="A57" s="60"/>
      <c r="B57" s="60"/>
      <c r="C57" s="60"/>
      <c r="D57" s="60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s="8" customFormat="1">
      <c r="A58" s="60"/>
      <c r="B58" s="60"/>
      <c r="C58" s="60"/>
      <c r="D58" s="60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s="8" customFormat="1"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s="8" customFormat="1"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s="8" customFormat="1"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s="8" customFormat="1"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s="8" customFormat="1"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s="8" customFormat="1"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6:40" s="8" customFormat="1"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6:40" s="8" customFormat="1"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6:40" s="8" customFormat="1"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6:40" s="8" customFormat="1"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6:40" s="8" customFormat="1"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85" spans="2:40" ht="12.75">
      <c r="B85" s="8"/>
      <c r="C85" s="8"/>
      <c r="D85" s="8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</sheetData>
  <mergeCells count="9">
    <mergeCell ref="A47:E47"/>
    <mergeCell ref="A48:E48"/>
    <mergeCell ref="A3:E3"/>
    <mergeCell ref="B6:E6"/>
    <mergeCell ref="B7:E7"/>
    <mergeCell ref="A10:A11"/>
    <mergeCell ref="B10:E10"/>
    <mergeCell ref="A46:E46"/>
    <mergeCell ref="C45:E45"/>
  </mergeCells>
  <printOptions horizontalCentered="1"/>
  <pageMargins left="0.5" right="0.25" top="0.75" bottom="0.25" header="0.5" footer="0.5"/>
  <pageSetup paperSize="9" scale="8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P162"/>
  <sheetViews>
    <sheetView view="pageBreakPreview" zoomScaleSheetLayoutView="100" workbookViewId="0">
      <selection activeCell="A99" sqref="A99:I99"/>
    </sheetView>
  </sheetViews>
  <sheetFormatPr defaultRowHeight="12.75"/>
  <cols>
    <col min="1" max="1" width="20.7109375" style="8" customWidth="1"/>
    <col min="2" max="2" width="11.5703125" style="8" customWidth="1"/>
    <col min="3" max="3" width="26.42578125" style="8" bestFit="1" customWidth="1"/>
    <col min="4" max="4" width="9.5703125" style="8" customWidth="1"/>
    <col min="5" max="5" width="8.140625" style="8" customWidth="1"/>
    <col min="6" max="6" width="7.140625" style="8" customWidth="1"/>
    <col min="7" max="7" width="9" style="93" customWidth="1"/>
    <col min="8" max="8" width="9.28515625" style="93" customWidth="1"/>
    <col min="9" max="9" width="9.85546875" style="93" customWidth="1"/>
    <col min="10" max="16" width="9.140625" style="8"/>
    <col min="17" max="256" width="9.140625" style="14"/>
    <col min="257" max="257" width="24.28515625" style="14" customWidth="1"/>
    <col min="258" max="258" width="28.28515625" style="14" customWidth="1"/>
    <col min="259" max="259" width="10.7109375" style="14" customWidth="1"/>
    <col min="260" max="260" width="11.140625" style="14" customWidth="1"/>
    <col min="261" max="262" width="8.5703125" style="14" customWidth="1"/>
    <col min="263" max="263" width="10.7109375" style="14" customWidth="1"/>
    <col min="264" max="264" width="10.140625" style="14" customWidth="1"/>
    <col min="265" max="265" width="10.28515625" style="14" customWidth="1"/>
    <col min="266" max="512" width="9.140625" style="14"/>
    <col min="513" max="513" width="24.28515625" style="14" customWidth="1"/>
    <col min="514" max="514" width="28.28515625" style="14" customWidth="1"/>
    <col min="515" max="515" width="10.7109375" style="14" customWidth="1"/>
    <col min="516" max="516" width="11.140625" style="14" customWidth="1"/>
    <col min="517" max="518" width="8.5703125" style="14" customWidth="1"/>
    <col min="519" max="519" width="10.7109375" style="14" customWidth="1"/>
    <col min="520" max="520" width="10.140625" style="14" customWidth="1"/>
    <col min="521" max="521" width="10.28515625" style="14" customWidth="1"/>
    <col min="522" max="768" width="9.140625" style="14"/>
    <col min="769" max="769" width="24.28515625" style="14" customWidth="1"/>
    <col min="770" max="770" width="28.28515625" style="14" customWidth="1"/>
    <col min="771" max="771" width="10.7109375" style="14" customWidth="1"/>
    <col min="772" max="772" width="11.140625" style="14" customWidth="1"/>
    <col min="773" max="774" width="8.5703125" style="14" customWidth="1"/>
    <col min="775" max="775" width="10.7109375" style="14" customWidth="1"/>
    <col min="776" max="776" width="10.140625" style="14" customWidth="1"/>
    <col min="777" max="777" width="10.28515625" style="14" customWidth="1"/>
    <col min="778" max="1024" width="9.140625" style="14"/>
    <col min="1025" max="1025" width="24.28515625" style="14" customWidth="1"/>
    <col min="1026" max="1026" width="28.28515625" style="14" customWidth="1"/>
    <col min="1027" max="1027" width="10.7109375" style="14" customWidth="1"/>
    <col min="1028" max="1028" width="11.140625" style="14" customWidth="1"/>
    <col min="1029" max="1030" width="8.5703125" style="14" customWidth="1"/>
    <col min="1031" max="1031" width="10.7109375" style="14" customWidth="1"/>
    <col min="1032" max="1032" width="10.140625" style="14" customWidth="1"/>
    <col min="1033" max="1033" width="10.28515625" style="14" customWidth="1"/>
    <col min="1034" max="1280" width="9.140625" style="14"/>
    <col min="1281" max="1281" width="24.28515625" style="14" customWidth="1"/>
    <col min="1282" max="1282" width="28.28515625" style="14" customWidth="1"/>
    <col min="1283" max="1283" width="10.7109375" style="14" customWidth="1"/>
    <col min="1284" max="1284" width="11.140625" style="14" customWidth="1"/>
    <col min="1285" max="1286" width="8.5703125" style="14" customWidth="1"/>
    <col min="1287" max="1287" width="10.7109375" style="14" customWidth="1"/>
    <col min="1288" max="1288" width="10.140625" style="14" customWidth="1"/>
    <col min="1289" max="1289" width="10.28515625" style="14" customWidth="1"/>
    <col min="1290" max="1536" width="9.140625" style="14"/>
    <col min="1537" max="1537" width="24.28515625" style="14" customWidth="1"/>
    <col min="1538" max="1538" width="28.28515625" style="14" customWidth="1"/>
    <col min="1539" max="1539" width="10.7109375" style="14" customWidth="1"/>
    <col min="1540" max="1540" width="11.140625" style="14" customWidth="1"/>
    <col min="1541" max="1542" width="8.5703125" style="14" customWidth="1"/>
    <col min="1543" max="1543" width="10.7109375" style="14" customWidth="1"/>
    <col min="1544" max="1544" width="10.140625" style="14" customWidth="1"/>
    <col min="1545" max="1545" width="10.28515625" style="14" customWidth="1"/>
    <col min="1546" max="1792" width="9.140625" style="14"/>
    <col min="1793" max="1793" width="24.28515625" style="14" customWidth="1"/>
    <col min="1794" max="1794" width="28.28515625" style="14" customWidth="1"/>
    <col min="1795" max="1795" width="10.7109375" style="14" customWidth="1"/>
    <col min="1796" max="1796" width="11.140625" style="14" customWidth="1"/>
    <col min="1797" max="1798" width="8.5703125" style="14" customWidth="1"/>
    <col min="1799" max="1799" width="10.7109375" style="14" customWidth="1"/>
    <col min="1800" max="1800" width="10.140625" style="14" customWidth="1"/>
    <col min="1801" max="1801" width="10.28515625" style="14" customWidth="1"/>
    <col min="1802" max="2048" width="9.140625" style="14"/>
    <col min="2049" max="2049" width="24.28515625" style="14" customWidth="1"/>
    <col min="2050" max="2050" width="28.28515625" style="14" customWidth="1"/>
    <col min="2051" max="2051" width="10.7109375" style="14" customWidth="1"/>
    <col min="2052" max="2052" width="11.140625" style="14" customWidth="1"/>
    <col min="2053" max="2054" width="8.5703125" style="14" customWidth="1"/>
    <col min="2055" max="2055" width="10.7109375" style="14" customWidth="1"/>
    <col min="2056" max="2056" width="10.140625" style="14" customWidth="1"/>
    <col min="2057" max="2057" width="10.28515625" style="14" customWidth="1"/>
    <col min="2058" max="2304" width="9.140625" style="14"/>
    <col min="2305" max="2305" width="24.28515625" style="14" customWidth="1"/>
    <col min="2306" max="2306" width="28.28515625" style="14" customWidth="1"/>
    <col min="2307" max="2307" width="10.7109375" style="14" customWidth="1"/>
    <col min="2308" max="2308" width="11.140625" style="14" customWidth="1"/>
    <col min="2309" max="2310" width="8.5703125" style="14" customWidth="1"/>
    <col min="2311" max="2311" width="10.7109375" style="14" customWidth="1"/>
    <col min="2312" max="2312" width="10.140625" style="14" customWidth="1"/>
    <col min="2313" max="2313" width="10.28515625" style="14" customWidth="1"/>
    <col min="2314" max="2560" width="9.140625" style="14"/>
    <col min="2561" max="2561" width="24.28515625" style="14" customWidth="1"/>
    <col min="2562" max="2562" width="28.28515625" style="14" customWidth="1"/>
    <col min="2563" max="2563" width="10.7109375" style="14" customWidth="1"/>
    <col min="2564" max="2564" width="11.140625" style="14" customWidth="1"/>
    <col min="2565" max="2566" width="8.5703125" style="14" customWidth="1"/>
    <col min="2567" max="2567" width="10.7109375" style="14" customWidth="1"/>
    <col min="2568" max="2568" width="10.140625" style="14" customWidth="1"/>
    <col min="2569" max="2569" width="10.28515625" style="14" customWidth="1"/>
    <col min="2570" max="2816" width="9.140625" style="14"/>
    <col min="2817" max="2817" width="24.28515625" style="14" customWidth="1"/>
    <col min="2818" max="2818" width="28.28515625" style="14" customWidth="1"/>
    <col min="2819" max="2819" width="10.7109375" style="14" customWidth="1"/>
    <col min="2820" max="2820" width="11.140625" style="14" customWidth="1"/>
    <col min="2821" max="2822" width="8.5703125" style="14" customWidth="1"/>
    <col min="2823" max="2823" width="10.7109375" style="14" customWidth="1"/>
    <col min="2824" max="2824" width="10.140625" style="14" customWidth="1"/>
    <col min="2825" max="2825" width="10.28515625" style="14" customWidth="1"/>
    <col min="2826" max="3072" width="9.140625" style="14"/>
    <col min="3073" max="3073" width="24.28515625" style="14" customWidth="1"/>
    <col min="3074" max="3074" width="28.28515625" style="14" customWidth="1"/>
    <col min="3075" max="3075" width="10.7109375" style="14" customWidth="1"/>
    <col min="3076" max="3076" width="11.140625" style="14" customWidth="1"/>
    <col min="3077" max="3078" width="8.5703125" style="14" customWidth="1"/>
    <col min="3079" max="3079" width="10.7109375" style="14" customWidth="1"/>
    <col min="3080" max="3080" width="10.140625" style="14" customWidth="1"/>
    <col min="3081" max="3081" width="10.28515625" style="14" customWidth="1"/>
    <col min="3082" max="3328" width="9.140625" style="14"/>
    <col min="3329" max="3329" width="24.28515625" style="14" customWidth="1"/>
    <col min="3330" max="3330" width="28.28515625" style="14" customWidth="1"/>
    <col min="3331" max="3331" width="10.7109375" style="14" customWidth="1"/>
    <col min="3332" max="3332" width="11.140625" style="14" customWidth="1"/>
    <col min="3333" max="3334" width="8.5703125" style="14" customWidth="1"/>
    <col min="3335" max="3335" width="10.7109375" style="14" customWidth="1"/>
    <col min="3336" max="3336" width="10.140625" style="14" customWidth="1"/>
    <col min="3337" max="3337" width="10.28515625" style="14" customWidth="1"/>
    <col min="3338" max="3584" width="9.140625" style="14"/>
    <col min="3585" max="3585" width="24.28515625" style="14" customWidth="1"/>
    <col min="3586" max="3586" width="28.28515625" style="14" customWidth="1"/>
    <col min="3587" max="3587" width="10.7109375" style="14" customWidth="1"/>
    <col min="3588" max="3588" width="11.140625" style="14" customWidth="1"/>
    <col min="3589" max="3590" width="8.5703125" style="14" customWidth="1"/>
    <col min="3591" max="3591" width="10.7109375" style="14" customWidth="1"/>
    <col min="3592" max="3592" width="10.140625" style="14" customWidth="1"/>
    <col min="3593" max="3593" width="10.28515625" style="14" customWidth="1"/>
    <col min="3594" max="3840" width="9.140625" style="14"/>
    <col min="3841" max="3841" width="24.28515625" style="14" customWidth="1"/>
    <col min="3842" max="3842" width="28.28515625" style="14" customWidth="1"/>
    <col min="3843" max="3843" width="10.7109375" style="14" customWidth="1"/>
    <col min="3844" max="3844" width="11.140625" style="14" customWidth="1"/>
    <col min="3845" max="3846" width="8.5703125" style="14" customWidth="1"/>
    <col min="3847" max="3847" width="10.7109375" style="14" customWidth="1"/>
    <col min="3848" max="3848" width="10.140625" style="14" customWidth="1"/>
    <col min="3849" max="3849" width="10.28515625" style="14" customWidth="1"/>
    <col min="3850" max="4096" width="9.140625" style="14"/>
    <col min="4097" max="4097" width="24.28515625" style="14" customWidth="1"/>
    <col min="4098" max="4098" width="28.28515625" style="14" customWidth="1"/>
    <col min="4099" max="4099" width="10.7109375" style="14" customWidth="1"/>
    <col min="4100" max="4100" width="11.140625" style="14" customWidth="1"/>
    <col min="4101" max="4102" width="8.5703125" style="14" customWidth="1"/>
    <col min="4103" max="4103" width="10.7109375" style="14" customWidth="1"/>
    <col min="4104" max="4104" width="10.140625" style="14" customWidth="1"/>
    <col min="4105" max="4105" width="10.28515625" style="14" customWidth="1"/>
    <col min="4106" max="4352" width="9.140625" style="14"/>
    <col min="4353" max="4353" width="24.28515625" style="14" customWidth="1"/>
    <col min="4354" max="4354" width="28.28515625" style="14" customWidth="1"/>
    <col min="4355" max="4355" width="10.7109375" style="14" customWidth="1"/>
    <col min="4356" max="4356" width="11.140625" style="14" customWidth="1"/>
    <col min="4357" max="4358" width="8.5703125" style="14" customWidth="1"/>
    <col min="4359" max="4359" width="10.7109375" style="14" customWidth="1"/>
    <col min="4360" max="4360" width="10.140625" style="14" customWidth="1"/>
    <col min="4361" max="4361" width="10.28515625" style="14" customWidth="1"/>
    <col min="4362" max="4608" width="9.140625" style="14"/>
    <col min="4609" max="4609" width="24.28515625" style="14" customWidth="1"/>
    <col min="4610" max="4610" width="28.28515625" style="14" customWidth="1"/>
    <col min="4611" max="4611" width="10.7109375" style="14" customWidth="1"/>
    <col min="4612" max="4612" width="11.140625" style="14" customWidth="1"/>
    <col min="4613" max="4614" width="8.5703125" style="14" customWidth="1"/>
    <col min="4615" max="4615" width="10.7109375" style="14" customWidth="1"/>
    <col min="4616" max="4616" width="10.140625" style="14" customWidth="1"/>
    <col min="4617" max="4617" width="10.28515625" style="14" customWidth="1"/>
    <col min="4618" max="4864" width="9.140625" style="14"/>
    <col min="4865" max="4865" width="24.28515625" style="14" customWidth="1"/>
    <col min="4866" max="4866" width="28.28515625" style="14" customWidth="1"/>
    <col min="4867" max="4867" width="10.7109375" style="14" customWidth="1"/>
    <col min="4868" max="4868" width="11.140625" style="14" customWidth="1"/>
    <col min="4869" max="4870" width="8.5703125" style="14" customWidth="1"/>
    <col min="4871" max="4871" width="10.7109375" style="14" customWidth="1"/>
    <col min="4872" max="4872" width="10.140625" style="14" customWidth="1"/>
    <col min="4873" max="4873" width="10.28515625" style="14" customWidth="1"/>
    <col min="4874" max="5120" width="9.140625" style="14"/>
    <col min="5121" max="5121" width="24.28515625" style="14" customWidth="1"/>
    <col min="5122" max="5122" width="28.28515625" style="14" customWidth="1"/>
    <col min="5123" max="5123" width="10.7109375" style="14" customWidth="1"/>
    <col min="5124" max="5124" width="11.140625" style="14" customWidth="1"/>
    <col min="5125" max="5126" width="8.5703125" style="14" customWidth="1"/>
    <col min="5127" max="5127" width="10.7109375" style="14" customWidth="1"/>
    <col min="5128" max="5128" width="10.140625" style="14" customWidth="1"/>
    <col min="5129" max="5129" width="10.28515625" style="14" customWidth="1"/>
    <col min="5130" max="5376" width="9.140625" style="14"/>
    <col min="5377" max="5377" width="24.28515625" style="14" customWidth="1"/>
    <col min="5378" max="5378" width="28.28515625" style="14" customWidth="1"/>
    <col min="5379" max="5379" width="10.7109375" style="14" customWidth="1"/>
    <col min="5380" max="5380" width="11.140625" style="14" customWidth="1"/>
    <col min="5381" max="5382" width="8.5703125" style="14" customWidth="1"/>
    <col min="5383" max="5383" width="10.7109375" style="14" customWidth="1"/>
    <col min="5384" max="5384" width="10.140625" style="14" customWidth="1"/>
    <col min="5385" max="5385" width="10.28515625" style="14" customWidth="1"/>
    <col min="5386" max="5632" width="9.140625" style="14"/>
    <col min="5633" max="5633" width="24.28515625" style="14" customWidth="1"/>
    <col min="5634" max="5634" width="28.28515625" style="14" customWidth="1"/>
    <col min="5635" max="5635" width="10.7109375" style="14" customWidth="1"/>
    <col min="5636" max="5636" width="11.140625" style="14" customWidth="1"/>
    <col min="5637" max="5638" width="8.5703125" style="14" customWidth="1"/>
    <col min="5639" max="5639" width="10.7109375" style="14" customWidth="1"/>
    <col min="5640" max="5640" width="10.140625" style="14" customWidth="1"/>
    <col min="5641" max="5641" width="10.28515625" style="14" customWidth="1"/>
    <col min="5642" max="5888" width="9.140625" style="14"/>
    <col min="5889" max="5889" width="24.28515625" style="14" customWidth="1"/>
    <col min="5890" max="5890" width="28.28515625" style="14" customWidth="1"/>
    <col min="5891" max="5891" width="10.7109375" style="14" customWidth="1"/>
    <col min="5892" max="5892" width="11.140625" style="14" customWidth="1"/>
    <col min="5893" max="5894" width="8.5703125" style="14" customWidth="1"/>
    <col min="5895" max="5895" width="10.7109375" style="14" customWidth="1"/>
    <col min="5896" max="5896" width="10.140625" style="14" customWidth="1"/>
    <col min="5897" max="5897" width="10.28515625" style="14" customWidth="1"/>
    <col min="5898" max="6144" width="9.140625" style="14"/>
    <col min="6145" max="6145" width="24.28515625" style="14" customWidth="1"/>
    <col min="6146" max="6146" width="28.28515625" style="14" customWidth="1"/>
    <col min="6147" max="6147" width="10.7109375" style="14" customWidth="1"/>
    <col min="6148" max="6148" width="11.140625" style="14" customWidth="1"/>
    <col min="6149" max="6150" width="8.5703125" style="14" customWidth="1"/>
    <col min="6151" max="6151" width="10.7109375" style="14" customWidth="1"/>
    <col min="6152" max="6152" width="10.140625" style="14" customWidth="1"/>
    <col min="6153" max="6153" width="10.28515625" style="14" customWidth="1"/>
    <col min="6154" max="6400" width="9.140625" style="14"/>
    <col min="6401" max="6401" width="24.28515625" style="14" customWidth="1"/>
    <col min="6402" max="6402" width="28.28515625" style="14" customWidth="1"/>
    <col min="6403" max="6403" width="10.7109375" style="14" customWidth="1"/>
    <col min="6404" max="6404" width="11.140625" style="14" customWidth="1"/>
    <col min="6405" max="6406" width="8.5703125" style="14" customWidth="1"/>
    <col min="6407" max="6407" width="10.7109375" style="14" customWidth="1"/>
    <col min="6408" max="6408" width="10.140625" style="14" customWidth="1"/>
    <col min="6409" max="6409" width="10.28515625" style="14" customWidth="1"/>
    <col min="6410" max="6656" width="9.140625" style="14"/>
    <col min="6657" max="6657" width="24.28515625" style="14" customWidth="1"/>
    <col min="6658" max="6658" width="28.28515625" style="14" customWidth="1"/>
    <col min="6659" max="6659" width="10.7109375" style="14" customWidth="1"/>
    <col min="6660" max="6660" width="11.140625" style="14" customWidth="1"/>
    <col min="6661" max="6662" width="8.5703125" style="14" customWidth="1"/>
    <col min="6663" max="6663" width="10.7109375" style="14" customWidth="1"/>
    <col min="6664" max="6664" width="10.140625" style="14" customWidth="1"/>
    <col min="6665" max="6665" width="10.28515625" style="14" customWidth="1"/>
    <col min="6666" max="6912" width="9.140625" style="14"/>
    <col min="6913" max="6913" width="24.28515625" style="14" customWidth="1"/>
    <col min="6914" max="6914" width="28.28515625" style="14" customWidth="1"/>
    <col min="6915" max="6915" width="10.7109375" style="14" customWidth="1"/>
    <col min="6916" max="6916" width="11.140625" style="14" customWidth="1"/>
    <col min="6917" max="6918" width="8.5703125" style="14" customWidth="1"/>
    <col min="6919" max="6919" width="10.7109375" style="14" customWidth="1"/>
    <col min="6920" max="6920" width="10.140625" style="14" customWidth="1"/>
    <col min="6921" max="6921" width="10.28515625" style="14" customWidth="1"/>
    <col min="6922" max="7168" width="9.140625" style="14"/>
    <col min="7169" max="7169" width="24.28515625" style="14" customWidth="1"/>
    <col min="7170" max="7170" width="28.28515625" style="14" customWidth="1"/>
    <col min="7171" max="7171" width="10.7109375" style="14" customWidth="1"/>
    <col min="7172" max="7172" width="11.140625" style="14" customWidth="1"/>
    <col min="7173" max="7174" width="8.5703125" style="14" customWidth="1"/>
    <col min="7175" max="7175" width="10.7109375" style="14" customWidth="1"/>
    <col min="7176" max="7176" width="10.140625" style="14" customWidth="1"/>
    <col min="7177" max="7177" width="10.28515625" style="14" customWidth="1"/>
    <col min="7178" max="7424" width="9.140625" style="14"/>
    <col min="7425" max="7425" width="24.28515625" style="14" customWidth="1"/>
    <col min="7426" max="7426" width="28.28515625" style="14" customWidth="1"/>
    <col min="7427" max="7427" width="10.7109375" style="14" customWidth="1"/>
    <col min="7428" max="7428" width="11.140625" style="14" customWidth="1"/>
    <col min="7429" max="7430" width="8.5703125" style="14" customWidth="1"/>
    <col min="7431" max="7431" width="10.7109375" style="14" customWidth="1"/>
    <col min="7432" max="7432" width="10.140625" style="14" customWidth="1"/>
    <col min="7433" max="7433" width="10.28515625" style="14" customWidth="1"/>
    <col min="7434" max="7680" width="9.140625" style="14"/>
    <col min="7681" max="7681" width="24.28515625" style="14" customWidth="1"/>
    <col min="7682" max="7682" width="28.28515625" style="14" customWidth="1"/>
    <col min="7683" max="7683" width="10.7109375" style="14" customWidth="1"/>
    <col min="7684" max="7684" width="11.140625" style="14" customWidth="1"/>
    <col min="7685" max="7686" width="8.5703125" style="14" customWidth="1"/>
    <col min="7687" max="7687" width="10.7109375" style="14" customWidth="1"/>
    <col min="7688" max="7688" width="10.140625" style="14" customWidth="1"/>
    <col min="7689" max="7689" width="10.28515625" style="14" customWidth="1"/>
    <col min="7690" max="7936" width="9.140625" style="14"/>
    <col min="7937" max="7937" width="24.28515625" style="14" customWidth="1"/>
    <col min="7938" max="7938" width="28.28515625" style="14" customWidth="1"/>
    <col min="7939" max="7939" width="10.7109375" style="14" customWidth="1"/>
    <col min="7940" max="7940" width="11.140625" style="14" customWidth="1"/>
    <col min="7941" max="7942" width="8.5703125" style="14" customWidth="1"/>
    <col min="7943" max="7943" width="10.7109375" style="14" customWidth="1"/>
    <col min="7944" max="7944" width="10.140625" style="14" customWidth="1"/>
    <col min="7945" max="7945" width="10.28515625" style="14" customWidth="1"/>
    <col min="7946" max="8192" width="9.140625" style="14"/>
    <col min="8193" max="8193" width="24.28515625" style="14" customWidth="1"/>
    <col min="8194" max="8194" width="28.28515625" style="14" customWidth="1"/>
    <col min="8195" max="8195" width="10.7109375" style="14" customWidth="1"/>
    <col min="8196" max="8196" width="11.140625" style="14" customWidth="1"/>
    <col min="8197" max="8198" width="8.5703125" style="14" customWidth="1"/>
    <col min="8199" max="8199" width="10.7109375" style="14" customWidth="1"/>
    <col min="8200" max="8200" width="10.140625" style="14" customWidth="1"/>
    <col min="8201" max="8201" width="10.28515625" style="14" customWidth="1"/>
    <col min="8202" max="8448" width="9.140625" style="14"/>
    <col min="8449" max="8449" width="24.28515625" style="14" customWidth="1"/>
    <col min="8450" max="8450" width="28.28515625" style="14" customWidth="1"/>
    <col min="8451" max="8451" width="10.7109375" style="14" customWidth="1"/>
    <col min="8452" max="8452" width="11.140625" style="14" customWidth="1"/>
    <col min="8453" max="8454" width="8.5703125" style="14" customWidth="1"/>
    <col min="8455" max="8455" width="10.7109375" style="14" customWidth="1"/>
    <col min="8456" max="8456" width="10.140625" style="14" customWidth="1"/>
    <col min="8457" max="8457" width="10.28515625" style="14" customWidth="1"/>
    <col min="8458" max="8704" width="9.140625" style="14"/>
    <col min="8705" max="8705" width="24.28515625" style="14" customWidth="1"/>
    <col min="8706" max="8706" width="28.28515625" style="14" customWidth="1"/>
    <col min="8707" max="8707" width="10.7109375" style="14" customWidth="1"/>
    <col min="8708" max="8708" width="11.140625" style="14" customWidth="1"/>
    <col min="8709" max="8710" width="8.5703125" style="14" customWidth="1"/>
    <col min="8711" max="8711" width="10.7109375" style="14" customWidth="1"/>
    <col min="8712" max="8712" width="10.140625" style="14" customWidth="1"/>
    <col min="8713" max="8713" width="10.28515625" style="14" customWidth="1"/>
    <col min="8714" max="8960" width="9.140625" style="14"/>
    <col min="8961" max="8961" width="24.28515625" style="14" customWidth="1"/>
    <col min="8962" max="8962" width="28.28515625" style="14" customWidth="1"/>
    <col min="8963" max="8963" width="10.7109375" style="14" customWidth="1"/>
    <col min="8964" max="8964" width="11.140625" style="14" customWidth="1"/>
    <col min="8965" max="8966" width="8.5703125" style="14" customWidth="1"/>
    <col min="8967" max="8967" width="10.7109375" style="14" customWidth="1"/>
    <col min="8968" max="8968" width="10.140625" style="14" customWidth="1"/>
    <col min="8969" max="8969" width="10.28515625" style="14" customWidth="1"/>
    <col min="8970" max="9216" width="9.140625" style="14"/>
    <col min="9217" max="9217" width="24.28515625" style="14" customWidth="1"/>
    <col min="9218" max="9218" width="28.28515625" style="14" customWidth="1"/>
    <col min="9219" max="9219" width="10.7109375" style="14" customWidth="1"/>
    <col min="9220" max="9220" width="11.140625" style="14" customWidth="1"/>
    <col min="9221" max="9222" width="8.5703125" style="14" customWidth="1"/>
    <col min="9223" max="9223" width="10.7109375" style="14" customWidth="1"/>
    <col min="9224" max="9224" width="10.140625" style="14" customWidth="1"/>
    <col min="9225" max="9225" width="10.28515625" style="14" customWidth="1"/>
    <col min="9226" max="9472" width="9.140625" style="14"/>
    <col min="9473" max="9473" width="24.28515625" style="14" customWidth="1"/>
    <col min="9474" max="9474" width="28.28515625" style="14" customWidth="1"/>
    <col min="9475" max="9475" width="10.7109375" style="14" customWidth="1"/>
    <col min="9476" max="9476" width="11.140625" style="14" customWidth="1"/>
    <col min="9477" max="9478" width="8.5703125" style="14" customWidth="1"/>
    <col min="9479" max="9479" width="10.7109375" style="14" customWidth="1"/>
    <col min="9480" max="9480" width="10.140625" style="14" customWidth="1"/>
    <col min="9481" max="9481" width="10.28515625" style="14" customWidth="1"/>
    <col min="9482" max="9728" width="9.140625" style="14"/>
    <col min="9729" max="9729" width="24.28515625" style="14" customWidth="1"/>
    <col min="9730" max="9730" width="28.28515625" style="14" customWidth="1"/>
    <col min="9731" max="9731" width="10.7109375" style="14" customWidth="1"/>
    <col min="9732" max="9732" width="11.140625" style="14" customWidth="1"/>
    <col min="9733" max="9734" width="8.5703125" style="14" customWidth="1"/>
    <col min="9735" max="9735" width="10.7109375" style="14" customWidth="1"/>
    <col min="9736" max="9736" width="10.140625" style="14" customWidth="1"/>
    <col min="9737" max="9737" width="10.28515625" style="14" customWidth="1"/>
    <col min="9738" max="9984" width="9.140625" style="14"/>
    <col min="9985" max="9985" width="24.28515625" style="14" customWidth="1"/>
    <col min="9986" max="9986" width="28.28515625" style="14" customWidth="1"/>
    <col min="9987" max="9987" width="10.7109375" style="14" customWidth="1"/>
    <col min="9988" max="9988" width="11.140625" style="14" customWidth="1"/>
    <col min="9989" max="9990" width="8.5703125" style="14" customWidth="1"/>
    <col min="9991" max="9991" width="10.7109375" style="14" customWidth="1"/>
    <col min="9992" max="9992" width="10.140625" style="14" customWidth="1"/>
    <col min="9993" max="9993" width="10.28515625" style="14" customWidth="1"/>
    <col min="9994" max="10240" width="9.140625" style="14"/>
    <col min="10241" max="10241" width="24.28515625" style="14" customWidth="1"/>
    <col min="10242" max="10242" width="28.28515625" style="14" customWidth="1"/>
    <col min="10243" max="10243" width="10.7109375" style="14" customWidth="1"/>
    <col min="10244" max="10244" width="11.140625" style="14" customWidth="1"/>
    <col min="10245" max="10246" width="8.5703125" style="14" customWidth="1"/>
    <col min="10247" max="10247" width="10.7109375" style="14" customWidth="1"/>
    <col min="10248" max="10248" width="10.140625" style="14" customWidth="1"/>
    <col min="10249" max="10249" width="10.28515625" style="14" customWidth="1"/>
    <col min="10250" max="10496" width="9.140625" style="14"/>
    <col min="10497" max="10497" width="24.28515625" style="14" customWidth="1"/>
    <col min="10498" max="10498" width="28.28515625" style="14" customWidth="1"/>
    <col min="10499" max="10499" width="10.7109375" style="14" customWidth="1"/>
    <col min="10500" max="10500" width="11.140625" style="14" customWidth="1"/>
    <col min="10501" max="10502" width="8.5703125" style="14" customWidth="1"/>
    <col min="10503" max="10503" width="10.7109375" style="14" customWidth="1"/>
    <col min="10504" max="10504" width="10.140625" style="14" customWidth="1"/>
    <col min="10505" max="10505" width="10.28515625" style="14" customWidth="1"/>
    <col min="10506" max="10752" width="9.140625" style="14"/>
    <col min="10753" max="10753" width="24.28515625" style="14" customWidth="1"/>
    <col min="10754" max="10754" width="28.28515625" style="14" customWidth="1"/>
    <col min="10755" max="10755" width="10.7109375" style="14" customWidth="1"/>
    <col min="10756" max="10756" width="11.140625" style="14" customWidth="1"/>
    <col min="10757" max="10758" width="8.5703125" style="14" customWidth="1"/>
    <col min="10759" max="10759" width="10.7109375" style="14" customWidth="1"/>
    <col min="10760" max="10760" width="10.140625" style="14" customWidth="1"/>
    <col min="10761" max="10761" width="10.28515625" style="14" customWidth="1"/>
    <col min="10762" max="11008" width="9.140625" style="14"/>
    <col min="11009" max="11009" width="24.28515625" style="14" customWidth="1"/>
    <col min="11010" max="11010" width="28.28515625" style="14" customWidth="1"/>
    <col min="11011" max="11011" width="10.7109375" style="14" customWidth="1"/>
    <col min="11012" max="11012" width="11.140625" style="14" customWidth="1"/>
    <col min="11013" max="11014" width="8.5703125" style="14" customWidth="1"/>
    <col min="11015" max="11015" width="10.7109375" style="14" customWidth="1"/>
    <col min="11016" max="11016" width="10.140625" style="14" customWidth="1"/>
    <col min="11017" max="11017" width="10.28515625" style="14" customWidth="1"/>
    <col min="11018" max="11264" width="9.140625" style="14"/>
    <col min="11265" max="11265" width="24.28515625" style="14" customWidth="1"/>
    <col min="11266" max="11266" width="28.28515625" style="14" customWidth="1"/>
    <col min="11267" max="11267" width="10.7109375" style="14" customWidth="1"/>
    <col min="11268" max="11268" width="11.140625" style="14" customWidth="1"/>
    <col min="11269" max="11270" width="8.5703125" style="14" customWidth="1"/>
    <col min="11271" max="11271" width="10.7109375" style="14" customWidth="1"/>
    <col min="11272" max="11272" width="10.140625" style="14" customWidth="1"/>
    <col min="11273" max="11273" width="10.28515625" style="14" customWidth="1"/>
    <col min="11274" max="11520" width="9.140625" style="14"/>
    <col min="11521" max="11521" width="24.28515625" style="14" customWidth="1"/>
    <col min="11522" max="11522" width="28.28515625" style="14" customWidth="1"/>
    <col min="11523" max="11523" width="10.7109375" style="14" customWidth="1"/>
    <col min="11524" max="11524" width="11.140625" style="14" customWidth="1"/>
    <col min="11525" max="11526" width="8.5703125" style="14" customWidth="1"/>
    <col min="11527" max="11527" width="10.7109375" style="14" customWidth="1"/>
    <col min="11528" max="11528" width="10.140625" style="14" customWidth="1"/>
    <col min="11529" max="11529" width="10.28515625" style="14" customWidth="1"/>
    <col min="11530" max="11776" width="9.140625" style="14"/>
    <col min="11777" max="11777" width="24.28515625" style="14" customWidth="1"/>
    <col min="11778" max="11778" width="28.28515625" style="14" customWidth="1"/>
    <col min="11779" max="11779" width="10.7109375" style="14" customWidth="1"/>
    <col min="11780" max="11780" width="11.140625" style="14" customWidth="1"/>
    <col min="11781" max="11782" width="8.5703125" style="14" customWidth="1"/>
    <col min="11783" max="11783" width="10.7109375" style="14" customWidth="1"/>
    <col min="11784" max="11784" width="10.140625" style="14" customWidth="1"/>
    <col min="11785" max="11785" width="10.28515625" style="14" customWidth="1"/>
    <col min="11786" max="12032" width="9.140625" style="14"/>
    <col min="12033" max="12033" width="24.28515625" style="14" customWidth="1"/>
    <col min="12034" max="12034" width="28.28515625" style="14" customWidth="1"/>
    <col min="12035" max="12035" width="10.7109375" style="14" customWidth="1"/>
    <col min="12036" max="12036" width="11.140625" style="14" customWidth="1"/>
    <col min="12037" max="12038" width="8.5703125" style="14" customWidth="1"/>
    <col min="12039" max="12039" width="10.7109375" style="14" customWidth="1"/>
    <col min="12040" max="12040" width="10.140625" style="14" customWidth="1"/>
    <col min="12041" max="12041" width="10.28515625" style="14" customWidth="1"/>
    <col min="12042" max="12288" width="9.140625" style="14"/>
    <col min="12289" max="12289" width="24.28515625" style="14" customWidth="1"/>
    <col min="12290" max="12290" width="28.28515625" style="14" customWidth="1"/>
    <col min="12291" max="12291" width="10.7109375" style="14" customWidth="1"/>
    <col min="12292" max="12292" width="11.140625" style="14" customWidth="1"/>
    <col min="12293" max="12294" width="8.5703125" style="14" customWidth="1"/>
    <col min="12295" max="12295" width="10.7109375" style="14" customWidth="1"/>
    <col min="12296" max="12296" width="10.140625" style="14" customWidth="1"/>
    <col min="12297" max="12297" width="10.28515625" style="14" customWidth="1"/>
    <col min="12298" max="12544" width="9.140625" style="14"/>
    <col min="12545" max="12545" width="24.28515625" style="14" customWidth="1"/>
    <col min="12546" max="12546" width="28.28515625" style="14" customWidth="1"/>
    <col min="12547" max="12547" width="10.7109375" style="14" customWidth="1"/>
    <col min="12548" max="12548" width="11.140625" style="14" customWidth="1"/>
    <col min="12549" max="12550" width="8.5703125" style="14" customWidth="1"/>
    <col min="12551" max="12551" width="10.7109375" style="14" customWidth="1"/>
    <col min="12552" max="12552" width="10.140625" style="14" customWidth="1"/>
    <col min="12553" max="12553" width="10.28515625" style="14" customWidth="1"/>
    <col min="12554" max="12800" width="9.140625" style="14"/>
    <col min="12801" max="12801" width="24.28515625" style="14" customWidth="1"/>
    <col min="12802" max="12802" width="28.28515625" style="14" customWidth="1"/>
    <col min="12803" max="12803" width="10.7109375" style="14" customWidth="1"/>
    <col min="12804" max="12804" width="11.140625" style="14" customWidth="1"/>
    <col min="12805" max="12806" width="8.5703125" style="14" customWidth="1"/>
    <col min="12807" max="12807" width="10.7109375" style="14" customWidth="1"/>
    <col min="12808" max="12808" width="10.140625" style="14" customWidth="1"/>
    <col min="12809" max="12809" width="10.28515625" style="14" customWidth="1"/>
    <col min="12810" max="13056" width="9.140625" style="14"/>
    <col min="13057" max="13057" width="24.28515625" style="14" customWidth="1"/>
    <col min="13058" max="13058" width="28.28515625" style="14" customWidth="1"/>
    <col min="13059" max="13059" width="10.7109375" style="14" customWidth="1"/>
    <col min="13060" max="13060" width="11.140625" style="14" customWidth="1"/>
    <col min="13061" max="13062" width="8.5703125" style="14" customWidth="1"/>
    <col min="13063" max="13063" width="10.7109375" style="14" customWidth="1"/>
    <col min="13064" max="13064" width="10.140625" style="14" customWidth="1"/>
    <col min="13065" max="13065" width="10.28515625" style="14" customWidth="1"/>
    <col min="13066" max="13312" width="9.140625" style="14"/>
    <col min="13313" max="13313" width="24.28515625" style="14" customWidth="1"/>
    <col min="13314" max="13314" width="28.28515625" style="14" customWidth="1"/>
    <col min="13315" max="13315" width="10.7109375" style="14" customWidth="1"/>
    <col min="13316" max="13316" width="11.140625" style="14" customWidth="1"/>
    <col min="13317" max="13318" width="8.5703125" style="14" customWidth="1"/>
    <col min="13319" max="13319" width="10.7109375" style="14" customWidth="1"/>
    <col min="13320" max="13320" width="10.140625" style="14" customWidth="1"/>
    <col min="13321" max="13321" width="10.28515625" style="14" customWidth="1"/>
    <col min="13322" max="13568" width="9.140625" style="14"/>
    <col min="13569" max="13569" width="24.28515625" style="14" customWidth="1"/>
    <col min="13570" max="13570" width="28.28515625" style="14" customWidth="1"/>
    <col min="13571" max="13571" width="10.7109375" style="14" customWidth="1"/>
    <col min="13572" max="13572" width="11.140625" style="14" customWidth="1"/>
    <col min="13573" max="13574" width="8.5703125" style="14" customWidth="1"/>
    <col min="13575" max="13575" width="10.7109375" style="14" customWidth="1"/>
    <col min="13576" max="13576" width="10.140625" style="14" customWidth="1"/>
    <col min="13577" max="13577" width="10.28515625" style="14" customWidth="1"/>
    <col min="13578" max="13824" width="9.140625" style="14"/>
    <col min="13825" max="13825" width="24.28515625" style="14" customWidth="1"/>
    <col min="13826" max="13826" width="28.28515625" style="14" customWidth="1"/>
    <col min="13827" max="13827" width="10.7109375" style="14" customWidth="1"/>
    <col min="13828" max="13828" width="11.140625" style="14" customWidth="1"/>
    <col min="13829" max="13830" width="8.5703125" style="14" customWidth="1"/>
    <col min="13831" max="13831" width="10.7109375" style="14" customWidth="1"/>
    <col min="13832" max="13832" width="10.140625" style="14" customWidth="1"/>
    <col min="13833" max="13833" width="10.28515625" style="14" customWidth="1"/>
    <col min="13834" max="14080" width="9.140625" style="14"/>
    <col min="14081" max="14081" width="24.28515625" style="14" customWidth="1"/>
    <col min="14082" max="14082" width="28.28515625" style="14" customWidth="1"/>
    <col min="14083" max="14083" width="10.7109375" style="14" customWidth="1"/>
    <col min="14084" max="14084" width="11.140625" style="14" customWidth="1"/>
    <col min="14085" max="14086" width="8.5703125" style="14" customWidth="1"/>
    <col min="14087" max="14087" width="10.7109375" style="14" customWidth="1"/>
    <col min="14088" max="14088" width="10.140625" style="14" customWidth="1"/>
    <col min="14089" max="14089" width="10.28515625" style="14" customWidth="1"/>
    <col min="14090" max="14336" width="9.140625" style="14"/>
    <col min="14337" max="14337" width="24.28515625" style="14" customWidth="1"/>
    <col min="14338" max="14338" width="28.28515625" style="14" customWidth="1"/>
    <col min="14339" max="14339" width="10.7109375" style="14" customWidth="1"/>
    <col min="14340" max="14340" width="11.140625" style="14" customWidth="1"/>
    <col min="14341" max="14342" width="8.5703125" style="14" customWidth="1"/>
    <col min="14343" max="14343" width="10.7109375" style="14" customWidth="1"/>
    <col min="14344" max="14344" width="10.140625" style="14" customWidth="1"/>
    <col min="14345" max="14345" width="10.28515625" style="14" customWidth="1"/>
    <col min="14346" max="14592" width="9.140625" style="14"/>
    <col min="14593" max="14593" width="24.28515625" style="14" customWidth="1"/>
    <col min="14594" max="14594" width="28.28515625" style="14" customWidth="1"/>
    <col min="14595" max="14595" width="10.7109375" style="14" customWidth="1"/>
    <col min="14596" max="14596" width="11.140625" style="14" customWidth="1"/>
    <col min="14597" max="14598" width="8.5703125" style="14" customWidth="1"/>
    <col min="14599" max="14599" width="10.7109375" style="14" customWidth="1"/>
    <col min="14600" max="14600" width="10.140625" style="14" customWidth="1"/>
    <col min="14601" max="14601" width="10.28515625" style="14" customWidth="1"/>
    <col min="14602" max="14848" width="9.140625" style="14"/>
    <col min="14849" max="14849" width="24.28515625" style="14" customWidth="1"/>
    <col min="14850" max="14850" width="28.28515625" style="14" customWidth="1"/>
    <col min="14851" max="14851" width="10.7109375" style="14" customWidth="1"/>
    <col min="14852" max="14852" width="11.140625" style="14" customWidth="1"/>
    <col min="14853" max="14854" width="8.5703125" style="14" customWidth="1"/>
    <col min="14855" max="14855" width="10.7109375" style="14" customWidth="1"/>
    <col min="14856" max="14856" width="10.140625" style="14" customWidth="1"/>
    <col min="14857" max="14857" width="10.28515625" style="14" customWidth="1"/>
    <col min="14858" max="15104" width="9.140625" style="14"/>
    <col min="15105" max="15105" width="24.28515625" style="14" customWidth="1"/>
    <col min="15106" max="15106" width="28.28515625" style="14" customWidth="1"/>
    <col min="15107" max="15107" width="10.7109375" style="14" customWidth="1"/>
    <col min="15108" max="15108" width="11.140625" style="14" customWidth="1"/>
    <col min="15109" max="15110" width="8.5703125" style="14" customWidth="1"/>
    <col min="15111" max="15111" width="10.7109375" style="14" customWidth="1"/>
    <col min="15112" max="15112" width="10.140625" style="14" customWidth="1"/>
    <col min="15113" max="15113" width="10.28515625" style="14" customWidth="1"/>
    <col min="15114" max="15360" width="9.140625" style="14"/>
    <col min="15361" max="15361" width="24.28515625" style="14" customWidth="1"/>
    <col min="15362" max="15362" width="28.28515625" style="14" customWidth="1"/>
    <col min="15363" max="15363" width="10.7109375" style="14" customWidth="1"/>
    <col min="15364" max="15364" width="11.140625" style="14" customWidth="1"/>
    <col min="15365" max="15366" width="8.5703125" style="14" customWidth="1"/>
    <col min="15367" max="15367" width="10.7109375" style="14" customWidth="1"/>
    <col min="15368" max="15368" width="10.140625" style="14" customWidth="1"/>
    <col min="15369" max="15369" width="10.28515625" style="14" customWidth="1"/>
    <col min="15370" max="15616" width="9.140625" style="14"/>
    <col min="15617" max="15617" width="24.28515625" style="14" customWidth="1"/>
    <col min="15618" max="15618" width="28.28515625" style="14" customWidth="1"/>
    <col min="15619" max="15619" width="10.7109375" style="14" customWidth="1"/>
    <col min="15620" max="15620" width="11.140625" style="14" customWidth="1"/>
    <col min="15621" max="15622" width="8.5703125" style="14" customWidth="1"/>
    <col min="15623" max="15623" width="10.7109375" style="14" customWidth="1"/>
    <col min="15624" max="15624" width="10.140625" style="14" customWidth="1"/>
    <col min="15625" max="15625" width="10.28515625" style="14" customWidth="1"/>
    <col min="15626" max="15872" width="9.140625" style="14"/>
    <col min="15873" max="15873" width="24.28515625" style="14" customWidth="1"/>
    <col min="15874" max="15874" width="28.28515625" style="14" customWidth="1"/>
    <col min="15875" max="15875" width="10.7109375" style="14" customWidth="1"/>
    <col min="15876" max="15876" width="11.140625" style="14" customWidth="1"/>
    <col min="15877" max="15878" width="8.5703125" style="14" customWidth="1"/>
    <col min="15879" max="15879" width="10.7109375" style="14" customWidth="1"/>
    <col min="15880" max="15880" width="10.140625" style="14" customWidth="1"/>
    <col min="15881" max="15881" width="10.28515625" style="14" customWidth="1"/>
    <col min="15882" max="16128" width="9.140625" style="14"/>
    <col min="16129" max="16129" width="24.28515625" style="14" customWidth="1"/>
    <col min="16130" max="16130" width="28.28515625" style="14" customWidth="1"/>
    <col min="16131" max="16131" width="10.7109375" style="14" customWidth="1"/>
    <col min="16132" max="16132" width="11.140625" style="14" customWidth="1"/>
    <col min="16133" max="16134" width="8.5703125" style="14" customWidth="1"/>
    <col min="16135" max="16135" width="10.7109375" style="14" customWidth="1"/>
    <col min="16136" max="16136" width="10.140625" style="14" customWidth="1"/>
    <col min="16137" max="16137" width="10.28515625" style="14" customWidth="1"/>
    <col min="16138" max="16384" width="9.140625" style="14"/>
  </cols>
  <sheetData>
    <row r="1" spans="1:16" ht="18">
      <c r="I1" s="555" t="s">
        <v>850</v>
      </c>
    </row>
    <row r="2" spans="1:16" ht="20.25">
      <c r="A2" s="1693" t="s">
        <v>340</v>
      </c>
      <c r="B2" s="1693"/>
      <c r="C2" s="1693"/>
      <c r="D2" s="1693"/>
      <c r="E2" s="1693"/>
      <c r="F2" s="1693"/>
      <c r="G2" s="1693"/>
      <c r="H2" s="1693"/>
      <c r="I2" s="1693"/>
    </row>
    <row r="4" spans="1:16" ht="15.75">
      <c r="A4" s="13" t="s">
        <v>986</v>
      </c>
    </row>
    <row r="5" spans="1:16" ht="20.100000000000001" customHeight="1">
      <c r="A5" s="1691" t="s">
        <v>725</v>
      </c>
      <c r="B5" s="1691" t="s">
        <v>341</v>
      </c>
      <c r="C5" s="1691" t="s">
        <v>342</v>
      </c>
      <c r="D5" s="1691" t="s">
        <v>343</v>
      </c>
      <c r="E5" s="1692" t="s">
        <v>963</v>
      </c>
      <c r="F5" s="1692"/>
      <c r="G5" s="1692"/>
      <c r="H5" s="1692" t="s">
        <v>724</v>
      </c>
      <c r="I5" s="1692"/>
    </row>
    <row r="6" spans="1:16" s="95" customFormat="1" ht="30" customHeight="1">
      <c r="A6" s="1691"/>
      <c r="B6" s="1691"/>
      <c r="C6" s="1691"/>
      <c r="D6" s="1691"/>
      <c r="E6" s="94">
        <v>2018</v>
      </c>
      <c r="F6" s="94">
        <v>2019</v>
      </c>
      <c r="G6" s="94">
        <v>2020</v>
      </c>
      <c r="H6" s="94">
        <v>2019</v>
      </c>
      <c r="I6" s="94">
        <v>2020</v>
      </c>
      <c r="J6" s="93"/>
      <c r="K6" s="93"/>
      <c r="L6" s="93"/>
      <c r="M6" s="93"/>
      <c r="N6" s="93"/>
      <c r="O6" s="93"/>
      <c r="P6" s="93"/>
    </row>
    <row r="7" spans="1:16" ht="15.75" customHeight="1">
      <c r="A7" s="1694" t="s">
        <v>984</v>
      </c>
      <c r="B7" s="1696" t="s">
        <v>154</v>
      </c>
      <c r="C7" s="96" t="s">
        <v>344</v>
      </c>
      <c r="D7" s="97" t="s">
        <v>345</v>
      </c>
      <c r="E7" s="98">
        <v>2115</v>
      </c>
      <c r="F7" s="99">
        <v>1691</v>
      </c>
      <c r="G7" s="100">
        <v>1871</v>
      </c>
      <c r="H7" s="101">
        <v>5119</v>
      </c>
      <c r="I7" s="102">
        <v>4459</v>
      </c>
    </row>
    <row r="8" spans="1:16" ht="24.75" customHeight="1">
      <c r="A8" s="1695"/>
      <c r="B8" s="1697"/>
      <c r="C8" s="103" t="s">
        <v>346</v>
      </c>
      <c r="D8" s="104" t="s">
        <v>345</v>
      </c>
      <c r="E8" s="105">
        <v>1984</v>
      </c>
      <c r="F8" s="106">
        <v>2091</v>
      </c>
      <c r="G8" s="107">
        <v>1890</v>
      </c>
      <c r="H8" s="108">
        <v>5316</v>
      </c>
      <c r="I8" s="109">
        <v>4749</v>
      </c>
    </row>
    <row r="9" spans="1:16" ht="24.75" customHeight="1">
      <c r="A9" s="1695"/>
      <c r="B9" s="760"/>
      <c r="C9" s="783" t="s">
        <v>1356</v>
      </c>
      <c r="D9" s="762"/>
      <c r="E9" s="763"/>
      <c r="F9" s="764"/>
      <c r="G9" s="765"/>
      <c r="H9" s="766"/>
      <c r="I9" s="767"/>
    </row>
    <row r="10" spans="1:16">
      <c r="A10" s="1695"/>
      <c r="B10" s="1698" t="s">
        <v>156</v>
      </c>
      <c r="C10" s="758" t="s">
        <v>408</v>
      </c>
      <c r="D10" s="111" t="s">
        <v>345</v>
      </c>
      <c r="E10" s="112">
        <v>46</v>
      </c>
      <c r="F10" s="113">
        <v>75</v>
      </c>
      <c r="G10" s="114">
        <v>56</v>
      </c>
      <c r="H10" s="101">
        <v>144</v>
      </c>
      <c r="I10" s="102">
        <v>157</v>
      </c>
    </row>
    <row r="11" spans="1:16" ht="25.5" customHeight="1">
      <c r="A11" s="1695"/>
      <c r="B11" s="1696"/>
      <c r="C11" s="759" t="s">
        <v>1355</v>
      </c>
      <c r="D11" s="111" t="s">
        <v>345</v>
      </c>
      <c r="E11" s="98">
        <v>7</v>
      </c>
      <c r="F11" s="99">
        <v>13</v>
      </c>
      <c r="G11" s="100">
        <v>9</v>
      </c>
      <c r="H11" s="101">
        <v>30</v>
      </c>
      <c r="I11" s="102">
        <v>22</v>
      </c>
    </row>
    <row r="12" spans="1:16" ht="25.5" customHeight="1">
      <c r="A12" s="1695"/>
      <c r="B12" s="1696"/>
      <c r="C12" s="759" t="s">
        <v>368</v>
      </c>
      <c r="D12" s="111" t="s">
        <v>345</v>
      </c>
      <c r="E12" s="98">
        <v>3</v>
      </c>
      <c r="F12" s="99">
        <v>8</v>
      </c>
      <c r="G12" s="100">
        <v>3</v>
      </c>
      <c r="H12" s="101">
        <v>21</v>
      </c>
      <c r="I12" s="102">
        <v>19</v>
      </c>
    </row>
    <row r="13" spans="1:16" ht="25.5" customHeight="1">
      <c r="A13" s="1695"/>
      <c r="B13" s="1696"/>
      <c r="C13" s="759" t="s">
        <v>380</v>
      </c>
      <c r="D13" s="111" t="s">
        <v>345</v>
      </c>
      <c r="E13" s="98">
        <v>23</v>
      </c>
      <c r="F13" s="99">
        <v>21</v>
      </c>
      <c r="G13" s="100">
        <v>14</v>
      </c>
      <c r="H13" s="101">
        <v>64</v>
      </c>
      <c r="I13" s="102">
        <v>51</v>
      </c>
    </row>
    <row r="14" spans="1:16" ht="25.5" customHeight="1">
      <c r="A14" s="1695"/>
      <c r="B14" s="1696"/>
      <c r="C14" s="759" t="s">
        <v>388</v>
      </c>
      <c r="D14" s="111" t="s">
        <v>345</v>
      </c>
      <c r="E14" s="98">
        <v>4</v>
      </c>
      <c r="F14" s="99">
        <v>4</v>
      </c>
      <c r="G14" s="100">
        <v>4</v>
      </c>
      <c r="H14" s="101">
        <v>7</v>
      </c>
      <c r="I14" s="102">
        <v>8</v>
      </c>
    </row>
    <row r="15" spans="1:16" ht="25.5" customHeight="1">
      <c r="A15" s="1695"/>
      <c r="B15" s="1696"/>
      <c r="C15" s="784" t="s">
        <v>348</v>
      </c>
      <c r="D15" s="116" t="s">
        <v>345</v>
      </c>
      <c r="E15" s="98"/>
      <c r="F15" s="99"/>
      <c r="G15" s="100"/>
      <c r="H15" s="101"/>
      <c r="I15" s="102"/>
    </row>
    <row r="16" spans="1:16" ht="25.5" customHeight="1">
      <c r="A16" s="1695"/>
      <c r="B16" s="1696"/>
      <c r="C16" s="759" t="s">
        <v>379</v>
      </c>
      <c r="D16" s="111" t="s">
        <v>345</v>
      </c>
      <c r="E16" s="98">
        <v>8</v>
      </c>
      <c r="F16" s="99">
        <v>3</v>
      </c>
      <c r="G16" s="100">
        <v>0</v>
      </c>
      <c r="H16" s="101">
        <v>18</v>
      </c>
      <c r="I16" s="102">
        <v>7</v>
      </c>
    </row>
    <row r="17" spans="1:9" ht="25.5" customHeight="1">
      <c r="A17" s="1695"/>
      <c r="B17" s="1696"/>
      <c r="C17" s="759" t="s">
        <v>383</v>
      </c>
      <c r="D17" s="111" t="s">
        <v>345</v>
      </c>
      <c r="E17" s="98">
        <v>54</v>
      </c>
      <c r="F17" s="99">
        <v>55</v>
      </c>
      <c r="G17" s="100">
        <v>59</v>
      </c>
      <c r="H17" s="101">
        <v>140</v>
      </c>
      <c r="I17" s="102">
        <v>123</v>
      </c>
    </row>
    <row r="18" spans="1:9" ht="25.5" customHeight="1">
      <c r="A18" s="1695"/>
      <c r="B18" s="1696"/>
      <c r="C18" s="759" t="s">
        <v>390</v>
      </c>
      <c r="D18" s="111" t="s">
        <v>345</v>
      </c>
      <c r="E18" s="98">
        <v>85</v>
      </c>
      <c r="F18" s="99">
        <v>115</v>
      </c>
      <c r="G18" s="100">
        <v>101</v>
      </c>
      <c r="H18" s="101">
        <v>225</v>
      </c>
      <c r="I18" s="102">
        <v>255</v>
      </c>
    </row>
    <row r="19" spans="1:9" ht="25.5" customHeight="1">
      <c r="A19" s="1695"/>
      <c r="B19" s="1696"/>
      <c r="C19" s="759" t="s">
        <v>1316</v>
      </c>
      <c r="D19" s="111" t="s">
        <v>345</v>
      </c>
      <c r="E19" s="98">
        <v>48</v>
      </c>
      <c r="F19" s="99">
        <v>51</v>
      </c>
      <c r="G19" s="100">
        <v>50</v>
      </c>
      <c r="H19" s="101">
        <v>120</v>
      </c>
      <c r="I19" s="102">
        <v>123</v>
      </c>
    </row>
    <row r="20" spans="1:9" ht="25.5" customHeight="1">
      <c r="A20" s="1695"/>
      <c r="B20" s="1696"/>
      <c r="C20" s="759" t="s">
        <v>396</v>
      </c>
      <c r="D20" s="111" t="s">
        <v>345</v>
      </c>
      <c r="E20" s="98">
        <v>42</v>
      </c>
      <c r="F20" s="99">
        <v>49</v>
      </c>
      <c r="G20" s="100">
        <v>41</v>
      </c>
      <c r="H20" s="101">
        <v>103</v>
      </c>
      <c r="I20" s="102">
        <v>106</v>
      </c>
    </row>
    <row r="21" spans="1:9" ht="25.5" customHeight="1">
      <c r="A21" s="1695"/>
      <c r="B21" s="1696"/>
      <c r="C21" s="759" t="s">
        <v>376</v>
      </c>
      <c r="D21" s="111" t="s">
        <v>345</v>
      </c>
      <c r="E21" s="98">
        <v>48</v>
      </c>
      <c r="F21" s="99">
        <v>47</v>
      </c>
      <c r="G21" s="100">
        <v>33</v>
      </c>
      <c r="H21" s="101">
        <v>136</v>
      </c>
      <c r="I21" s="102">
        <v>93</v>
      </c>
    </row>
    <row r="22" spans="1:9" ht="25.5" customHeight="1">
      <c r="A22" s="1695"/>
      <c r="B22" s="1696"/>
      <c r="C22" s="759" t="s">
        <v>391</v>
      </c>
      <c r="D22" s="111" t="s">
        <v>345</v>
      </c>
      <c r="E22" s="98">
        <v>88</v>
      </c>
      <c r="F22" s="99">
        <v>94</v>
      </c>
      <c r="G22" s="100">
        <v>51</v>
      </c>
      <c r="H22" s="101">
        <v>191</v>
      </c>
      <c r="I22" s="102">
        <v>155</v>
      </c>
    </row>
    <row r="23" spans="1:9" ht="25.5" customHeight="1">
      <c r="A23" s="1695"/>
      <c r="B23" s="1696"/>
      <c r="C23" s="785" t="s">
        <v>349</v>
      </c>
      <c r="D23" s="104" t="s">
        <v>345</v>
      </c>
      <c r="E23" s="98"/>
      <c r="F23" s="99"/>
      <c r="G23" s="100"/>
      <c r="H23" s="101"/>
      <c r="I23" s="102"/>
    </row>
    <row r="24" spans="1:9" ht="25.5" customHeight="1">
      <c r="A24" s="1695"/>
      <c r="B24" s="1696"/>
      <c r="C24" s="759" t="s">
        <v>1320</v>
      </c>
      <c r="D24" s="104" t="s">
        <v>345</v>
      </c>
      <c r="E24" s="98">
        <v>21</v>
      </c>
      <c r="F24" s="99">
        <v>14</v>
      </c>
      <c r="G24" s="100">
        <v>8</v>
      </c>
      <c r="H24" s="101">
        <v>48</v>
      </c>
      <c r="I24" s="102">
        <v>37</v>
      </c>
    </row>
    <row r="25" spans="1:9" ht="25.5" customHeight="1">
      <c r="A25" s="1695"/>
      <c r="B25" s="1696"/>
      <c r="C25" s="759" t="s">
        <v>412</v>
      </c>
      <c r="D25" s="104" t="s">
        <v>345</v>
      </c>
      <c r="E25" s="98">
        <v>80</v>
      </c>
      <c r="F25" s="99">
        <v>111</v>
      </c>
      <c r="G25" s="100">
        <v>60</v>
      </c>
      <c r="H25" s="101">
        <v>261</v>
      </c>
      <c r="I25" s="102">
        <v>252</v>
      </c>
    </row>
    <row r="26" spans="1:9" ht="25.5" customHeight="1">
      <c r="A26" s="1695"/>
      <c r="B26" s="1696"/>
      <c r="C26" s="759" t="s">
        <v>417</v>
      </c>
      <c r="D26" s="104" t="s">
        <v>345</v>
      </c>
      <c r="E26" s="98">
        <v>55</v>
      </c>
      <c r="F26" s="99">
        <v>60</v>
      </c>
      <c r="G26" s="100">
        <v>61</v>
      </c>
      <c r="H26" s="101">
        <v>152</v>
      </c>
      <c r="I26" s="102">
        <v>155</v>
      </c>
    </row>
    <row r="27" spans="1:9" ht="25.5" customHeight="1">
      <c r="A27" s="1695"/>
      <c r="B27" s="1696"/>
      <c r="C27" s="759" t="s">
        <v>1357</v>
      </c>
      <c r="D27" s="104" t="s">
        <v>345</v>
      </c>
      <c r="E27" s="98">
        <v>23</v>
      </c>
      <c r="F27" s="99">
        <v>0</v>
      </c>
      <c r="G27" s="100">
        <v>0</v>
      </c>
      <c r="H27" s="101">
        <v>34</v>
      </c>
      <c r="I27" s="102">
        <v>1</v>
      </c>
    </row>
    <row r="28" spans="1:9" ht="25.5" customHeight="1">
      <c r="A28" s="1695"/>
      <c r="B28" s="1696"/>
      <c r="C28" s="759" t="s">
        <v>409</v>
      </c>
      <c r="D28" s="104" t="s">
        <v>345</v>
      </c>
      <c r="E28" s="98">
        <v>46</v>
      </c>
      <c r="F28" s="99">
        <v>49</v>
      </c>
      <c r="G28" s="100">
        <v>16</v>
      </c>
      <c r="H28" s="101">
        <v>121</v>
      </c>
      <c r="I28" s="102">
        <v>72</v>
      </c>
    </row>
    <row r="29" spans="1:9" ht="25.5" customHeight="1">
      <c r="A29" s="1695"/>
      <c r="B29" s="1696"/>
      <c r="C29" s="768" t="s">
        <v>1325</v>
      </c>
      <c r="D29" s="104" t="s">
        <v>345</v>
      </c>
      <c r="E29" s="117">
        <v>98</v>
      </c>
      <c r="F29" s="118">
        <v>89</v>
      </c>
      <c r="G29" s="119">
        <v>57</v>
      </c>
      <c r="H29" s="101">
        <v>213</v>
      </c>
      <c r="I29" s="102">
        <v>174</v>
      </c>
    </row>
    <row r="30" spans="1:9" ht="25.5" customHeight="1">
      <c r="A30" s="1695"/>
      <c r="B30" s="1696"/>
      <c r="C30" s="769" t="s">
        <v>423</v>
      </c>
      <c r="D30" s="104" t="s">
        <v>345</v>
      </c>
      <c r="E30" s="105">
        <v>32</v>
      </c>
      <c r="F30" s="106">
        <v>25</v>
      </c>
      <c r="G30" s="107">
        <v>18</v>
      </c>
      <c r="H30" s="108">
        <v>78</v>
      </c>
      <c r="I30" s="109">
        <v>64</v>
      </c>
    </row>
    <row r="31" spans="1:9" ht="25.5" customHeight="1">
      <c r="A31" s="1695"/>
      <c r="B31" s="1696"/>
      <c r="C31" s="759" t="s">
        <v>1358</v>
      </c>
      <c r="D31" s="104" t="s">
        <v>345</v>
      </c>
      <c r="E31" s="98">
        <v>13</v>
      </c>
      <c r="F31" s="99">
        <v>20</v>
      </c>
      <c r="G31" s="100">
        <v>15</v>
      </c>
      <c r="H31" s="101">
        <v>34</v>
      </c>
      <c r="I31" s="102">
        <v>42</v>
      </c>
    </row>
    <row r="32" spans="1:9" ht="25.5" customHeight="1">
      <c r="A32" s="1695"/>
      <c r="B32" s="1696"/>
      <c r="C32" s="759" t="s">
        <v>406</v>
      </c>
      <c r="D32" s="104" t="s">
        <v>345</v>
      </c>
      <c r="E32" s="98">
        <v>4</v>
      </c>
      <c r="F32" s="99">
        <v>0</v>
      </c>
      <c r="G32" s="100">
        <v>6</v>
      </c>
      <c r="H32" s="101">
        <v>17</v>
      </c>
      <c r="I32" s="102">
        <v>10</v>
      </c>
    </row>
    <row r="33" spans="1:9" ht="25.5" customHeight="1">
      <c r="A33" s="1695"/>
      <c r="B33" s="1696"/>
      <c r="C33" s="759" t="s">
        <v>1319</v>
      </c>
      <c r="D33" s="104" t="s">
        <v>345</v>
      </c>
      <c r="E33" s="98">
        <v>55</v>
      </c>
      <c r="F33" s="99">
        <v>74</v>
      </c>
      <c r="G33" s="100">
        <v>38</v>
      </c>
      <c r="H33" s="101">
        <v>171</v>
      </c>
      <c r="I33" s="102">
        <v>173</v>
      </c>
    </row>
    <row r="34" spans="1:9" ht="25.5" customHeight="1">
      <c r="A34" s="1695"/>
      <c r="B34" s="1696"/>
      <c r="C34" s="759" t="s">
        <v>412</v>
      </c>
      <c r="D34" s="104" t="s">
        <v>345</v>
      </c>
      <c r="E34" s="98">
        <v>7</v>
      </c>
      <c r="F34" s="99">
        <v>9</v>
      </c>
      <c r="G34" s="100">
        <v>6</v>
      </c>
      <c r="H34" s="101">
        <v>34</v>
      </c>
      <c r="I34" s="102">
        <v>23</v>
      </c>
    </row>
    <row r="35" spans="1:9" ht="25.5" customHeight="1">
      <c r="A35" s="1695"/>
      <c r="B35" s="1696"/>
      <c r="C35" s="759" t="s">
        <v>391</v>
      </c>
      <c r="D35" s="104" t="s">
        <v>345</v>
      </c>
      <c r="E35" s="98">
        <v>88</v>
      </c>
      <c r="F35" s="99">
        <v>94</v>
      </c>
      <c r="G35" s="100">
        <v>51</v>
      </c>
      <c r="H35" s="101">
        <v>191</v>
      </c>
      <c r="I35" s="102">
        <v>155</v>
      </c>
    </row>
    <row r="36" spans="1:9" ht="25.5" customHeight="1">
      <c r="A36" s="1695"/>
      <c r="B36" s="1696"/>
      <c r="C36" s="759" t="s">
        <v>371</v>
      </c>
      <c r="D36" s="104" t="s">
        <v>345</v>
      </c>
      <c r="E36" s="98">
        <v>12</v>
      </c>
      <c r="F36" s="99">
        <v>19</v>
      </c>
      <c r="G36" s="100">
        <v>35</v>
      </c>
      <c r="H36" s="101">
        <v>65</v>
      </c>
      <c r="I36" s="102">
        <v>57</v>
      </c>
    </row>
    <row r="47" spans="1:9" ht="30.75" customHeight="1">
      <c r="A47" s="1699" t="s">
        <v>987</v>
      </c>
      <c r="B47" s="1699"/>
      <c r="C47" s="1699"/>
      <c r="D47" s="1699"/>
      <c r="E47" s="1699"/>
      <c r="F47" s="1699"/>
      <c r="G47" s="1699"/>
      <c r="H47" s="1699"/>
      <c r="I47" s="1699"/>
    </row>
    <row r="48" spans="1:9" ht="20.100000000000001" customHeight="1">
      <c r="A48" s="1691" t="s">
        <v>726</v>
      </c>
      <c r="B48" s="1691" t="s">
        <v>341</v>
      </c>
      <c r="C48" s="1691" t="s">
        <v>342</v>
      </c>
      <c r="D48" s="1691" t="s">
        <v>343</v>
      </c>
      <c r="E48" s="1692" t="s">
        <v>723</v>
      </c>
      <c r="F48" s="1692"/>
      <c r="G48" s="1692"/>
      <c r="H48" s="1692" t="s">
        <v>724</v>
      </c>
      <c r="I48" s="1692"/>
    </row>
    <row r="49" spans="1:16" s="95" customFormat="1" ht="30" customHeight="1">
      <c r="A49" s="1691"/>
      <c r="B49" s="1691"/>
      <c r="C49" s="1691"/>
      <c r="D49" s="1691"/>
      <c r="E49" s="666">
        <v>2018</v>
      </c>
      <c r="F49" s="666">
        <v>2019</v>
      </c>
      <c r="G49" s="666">
        <v>2020</v>
      </c>
      <c r="H49" s="666">
        <v>2019</v>
      </c>
      <c r="I49" s="666">
        <v>2020</v>
      </c>
      <c r="J49" s="93"/>
      <c r="K49" s="93"/>
      <c r="L49" s="93"/>
      <c r="M49" s="93"/>
      <c r="N49" s="93"/>
      <c r="O49" s="93"/>
      <c r="P49" s="93"/>
    </row>
    <row r="50" spans="1:16" ht="17.25" customHeight="1">
      <c r="A50" s="1700" t="s">
        <v>985</v>
      </c>
      <c r="B50" s="771" t="s">
        <v>350</v>
      </c>
      <c r="C50" s="782" t="s">
        <v>147</v>
      </c>
      <c r="D50" s="96"/>
      <c r="E50" s="98"/>
      <c r="F50" s="99"/>
      <c r="G50" s="120"/>
      <c r="H50" s="120"/>
      <c r="I50" s="121"/>
    </row>
    <row r="51" spans="1:16" ht="17.25" customHeight="1">
      <c r="A51" s="1700"/>
      <c r="B51" s="771" t="s">
        <v>350</v>
      </c>
      <c r="C51" s="770" t="s">
        <v>438</v>
      </c>
      <c r="D51" s="759" t="s">
        <v>1361</v>
      </c>
      <c r="E51" s="98">
        <v>81</v>
      </c>
      <c r="F51" s="99">
        <v>101</v>
      </c>
      <c r="G51" s="120">
        <v>115</v>
      </c>
      <c r="H51" s="120">
        <v>277</v>
      </c>
      <c r="I51" s="121">
        <v>318</v>
      </c>
    </row>
    <row r="52" spans="1:16" ht="17.25" customHeight="1">
      <c r="A52" s="1700"/>
      <c r="B52" s="771" t="s">
        <v>350</v>
      </c>
      <c r="C52" s="770" t="s">
        <v>1325</v>
      </c>
      <c r="D52" s="759" t="s">
        <v>1361</v>
      </c>
      <c r="E52" s="98">
        <v>69</v>
      </c>
      <c r="F52" s="99">
        <v>63</v>
      </c>
      <c r="G52" s="120">
        <v>83</v>
      </c>
      <c r="H52" s="120">
        <v>226</v>
      </c>
      <c r="I52" s="121">
        <v>249</v>
      </c>
    </row>
    <row r="53" spans="1:16" ht="17.25" customHeight="1">
      <c r="A53" s="1700"/>
      <c r="B53" s="771" t="s">
        <v>350</v>
      </c>
      <c r="C53" s="770" t="s">
        <v>406</v>
      </c>
      <c r="D53" s="759" t="s">
        <v>1361</v>
      </c>
      <c r="E53" s="98">
        <v>113</v>
      </c>
      <c r="F53" s="99">
        <v>102</v>
      </c>
      <c r="G53" s="120">
        <v>116</v>
      </c>
      <c r="H53" s="120">
        <v>346</v>
      </c>
      <c r="I53" s="121">
        <v>369</v>
      </c>
    </row>
    <row r="54" spans="1:16" ht="17.25" customHeight="1">
      <c r="A54" s="1700"/>
      <c r="B54" s="771" t="s">
        <v>350</v>
      </c>
      <c r="C54" s="770" t="s">
        <v>391</v>
      </c>
      <c r="D54" s="759" t="s">
        <v>1361</v>
      </c>
      <c r="E54" s="98">
        <v>0</v>
      </c>
      <c r="F54" s="99">
        <v>23</v>
      </c>
      <c r="G54" s="120">
        <v>42</v>
      </c>
      <c r="H54" s="120">
        <v>43</v>
      </c>
      <c r="I54" s="121">
        <v>75</v>
      </c>
    </row>
    <row r="55" spans="1:16" ht="17.25" customHeight="1">
      <c r="A55" s="1700"/>
      <c r="B55" s="771" t="s">
        <v>350</v>
      </c>
      <c r="C55" s="770" t="s">
        <v>1359</v>
      </c>
      <c r="D55" s="759" t="s">
        <v>1360</v>
      </c>
      <c r="E55" s="98">
        <v>97</v>
      </c>
      <c r="F55" s="99">
        <v>159</v>
      </c>
      <c r="G55" s="120">
        <v>153</v>
      </c>
      <c r="H55" s="120">
        <v>618</v>
      </c>
      <c r="I55" s="121">
        <v>652</v>
      </c>
    </row>
    <row r="56" spans="1:16" ht="17.25" customHeight="1">
      <c r="A56" s="1700"/>
      <c r="B56" s="772" t="s">
        <v>156</v>
      </c>
      <c r="C56" s="773"/>
      <c r="D56" s="96"/>
      <c r="E56" s="98"/>
      <c r="F56" s="99"/>
      <c r="G56" s="120"/>
      <c r="H56" s="120"/>
      <c r="I56" s="121"/>
    </row>
    <row r="57" spans="1:16" ht="25.5" customHeight="1">
      <c r="A57" s="1700"/>
      <c r="B57" s="772" t="s">
        <v>156</v>
      </c>
      <c r="C57" s="774" t="s">
        <v>1362</v>
      </c>
      <c r="D57" s="104" t="s">
        <v>345</v>
      </c>
      <c r="E57" s="98">
        <v>53</v>
      </c>
      <c r="F57" s="99">
        <v>35</v>
      </c>
      <c r="G57" s="120">
        <v>0</v>
      </c>
      <c r="H57" s="120">
        <v>96</v>
      </c>
      <c r="I57" s="775" t="s">
        <v>1363</v>
      </c>
    </row>
    <row r="58" spans="1:16" ht="25.5">
      <c r="A58" s="1700"/>
      <c r="B58" s="772" t="s">
        <v>156</v>
      </c>
      <c r="C58" s="774" t="s">
        <v>1364</v>
      </c>
      <c r="D58" s="104" t="s">
        <v>345</v>
      </c>
      <c r="E58" s="98">
        <v>0</v>
      </c>
      <c r="F58" s="99">
        <v>0</v>
      </c>
      <c r="G58" s="120">
        <v>0</v>
      </c>
      <c r="H58" s="120">
        <v>4</v>
      </c>
      <c r="I58" s="775" t="s">
        <v>1363</v>
      </c>
    </row>
    <row r="59" spans="1:16" ht="17.25" customHeight="1">
      <c r="A59" s="1701"/>
      <c r="B59" s="122" t="s">
        <v>351</v>
      </c>
      <c r="C59" s="773"/>
      <c r="D59" s="115"/>
      <c r="E59" s="117"/>
      <c r="F59" s="118"/>
      <c r="G59" s="123"/>
      <c r="H59" s="123"/>
      <c r="I59" s="124"/>
    </row>
    <row r="60" spans="1:16" ht="17.25" customHeight="1">
      <c r="A60" s="1701"/>
      <c r="B60" s="122" t="s">
        <v>134</v>
      </c>
      <c r="C60" s="773"/>
      <c r="D60" s="115"/>
      <c r="E60" s="117"/>
      <c r="F60" s="118"/>
      <c r="G60" s="123"/>
      <c r="H60" s="123"/>
      <c r="I60" s="124"/>
    </row>
    <row r="61" spans="1:16" ht="38.25">
      <c r="A61" s="1701"/>
      <c r="B61" s="125" t="s">
        <v>352</v>
      </c>
      <c r="C61" s="776" t="s">
        <v>1365</v>
      </c>
      <c r="D61" s="777" t="s">
        <v>829</v>
      </c>
      <c r="E61" s="126">
        <v>7</v>
      </c>
      <c r="F61" s="127">
        <v>8</v>
      </c>
      <c r="G61" s="128">
        <v>0</v>
      </c>
      <c r="H61" s="128">
        <v>10</v>
      </c>
      <c r="I61" s="129">
        <v>11</v>
      </c>
    </row>
    <row r="62" spans="1:16" ht="17.25" customHeight="1">
      <c r="A62" s="1700" t="s">
        <v>985</v>
      </c>
      <c r="B62" s="130" t="s">
        <v>350</v>
      </c>
      <c r="C62" s="781" t="s">
        <v>149</v>
      </c>
      <c r="D62" s="110"/>
      <c r="E62" s="112"/>
      <c r="F62" s="113"/>
      <c r="G62" s="131"/>
      <c r="H62" s="131"/>
      <c r="I62" s="132"/>
    </row>
    <row r="63" spans="1:16" ht="17.25" customHeight="1">
      <c r="A63" s="1700"/>
      <c r="B63" s="750" t="s">
        <v>350</v>
      </c>
      <c r="C63" s="770" t="s">
        <v>412</v>
      </c>
      <c r="D63" s="759" t="s">
        <v>1361</v>
      </c>
      <c r="E63" s="98">
        <v>89</v>
      </c>
      <c r="F63" s="99">
        <v>79</v>
      </c>
      <c r="G63" s="120">
        <v>105</v>
      </c>
      <c r="H63" s="120">
        <v>295</v>
      </c>
      <c r="I63" s="121">
        <v>324</v>
      </c>
    </row>
    <row r="64" spans="1:16" ht="17.25" customHeight="1">
      <c r="A64" s="1700"/>
      <c r="B64" s="750" t="s">
        <v>350</v>
      </c>
      <c r="C64" s="770" t="s">
        <v>423</v>
      </c>
      <c r="D64" s="759" t="s">
        <v>1361</v>
      </c>
      <c r="E64" s="98">
        <v>53</v>
      </c>
      <c r="F64" s="99">
        <v>47</v>
      </c>
      <c r="G64" s="120">
        <v>71</v>
      </c>
      <c r="H64" s="120">
        <v>141</v>
      </c>
      <c r="I64" s="121">
        <v>181</v>
      </c>
    </row>
    <row r="65" spans="1:9" ht="17.25" customHeight="1">
      <c r="A65" s="1700"/>
      <c r="B65" s="750" t="s">
        <v>350</v>
      </c>
      <c r="C65" s="770" t="s">
        <v>376</v>
      </c>
      <c r="D65" s="759" t="s">
        <v>1361</v>
      </c>
      <c r="E65" s="98">
        <v>87</v>
      </c>
      <c r="F65" s="99">
        <v>120</v>
      </c>
      <c r="G65" s="120">
        <v>143</v>
      </c>
      <c r="H65" s="120">
        <v>295</v>
      </c>
      <c r="I65" s="121">
        <v>370</v>
      </c>
    </row>
    <row r="66" spans="1:9" ht="17.25" customHeight="1">
      <c r="A66" s="1700"/>
      <c r="B66" s="750" t="s">
        <v>350</v>
      </c>
      <c r="C66" s="770" t="s">
        <v>417</v>
      </c>
      <c r="D66" s="759" t="s">
        <v>1361</v>
      </c>
      <c r="E66" s="98">
        <v>109</v>
      </c>
      <c r="F66" s="99">
        <v>108</v>
      </c>
      <c r="G66" s="120">
        <v>109</v>
      </c>
      <c r="H66" s="120">
        <v>382</v>
      </c>
      <c r="I66" s="121">
        <v>375</v>
      </c>
    </row>
    <row r="67" spans="1:9" ht="17.25" customHeight="1">
      <c r="A67" s="1701"/>
      <c r="B67" s="122" t="s">
        <v>156</v>
      </c>
      <c r="C67" s="786"/>
      <c r="D67" s="115"/>
      <c r="E67" s="117"/>
      <c r="F67" s="118"/>
      <c r="G67" s="123"/>
      <c r="H67" s="123"/>
      <c r="I67" s="124"/>
    </row>
    <row r="68" spans="1:9" ht="17.25" customHeight="1">
      <c r="A68" s="1701"/>
      <c r="B68" s="122" t="s">
        <v>351</v>
      </c>
      <c r="C68" s="786"/>
      <c r="D68" s="115"/>
      <c r="E68" s="117"/>
      <c r="F68" s="118"/>
      <c r="G68" s="123"/>
      <c r="H68" s="123"/>
      <c r="I68" s="124"/>
    </row>
    <row r="69" spans="1:9" ht="17.25" customHeight="1">
      <c r="A69" s="1701"/>
      <c r="B69" s="122" t="s">
        <v>134</v>
      </c>
      <c r="C69" s="786"/>
      <c r="D69" s="115"/>
      <c r="E69" s="117"/>
      <c r="F69" s="118"/>
      <c r="G69" s="123"/>
      <c r="H69" s="123"/>
      <c r="I69" s="124"/>
    </row>
    <row r="70" spans="1:9" ht="38.25">
      <c r="A70" s="1701"/>
      <c r="B70" s="103" t="s">
        <v>352</v>
      </c>
      <c r="C70" s="776" t="s">
        <v>1365</v>
      </c>
      <c r="D70" s="777" t="s">
        <v>829</v>
      </c>
      <c r="E70" s="105">
        <v>11</v>
      </c>
      <c r="F70" s="106">
        <v>44</v>
      </c>
      <c r="G70" s="133">
        <v>0</v>
      </c>
      <c r="H70" s="133">
        <v>44</v>
      </c>
      <c r="I70" s="134">
        <v>0</v>
      </c>
    </row>
    <row r="71" spans="1:9" ht="17.25" customHeight="1">
      <c r="A71" s="1700" t="s">
        <v>985</v>
      </c>
      <c r="B71" s="771" t="s">
        <v>350</v>
      </c>
      <c r="C71" s="789" t="s">
        <v>353</v>
      </c>
      <c r="D71" s="96"/>
      <c r="E71" s="98"/>
      <c r="F71" s="99"/>
      <c r="G71" s="120"/>
      <c r="H71" s="120"/>
      <c r="I71" s="121"/>
    </row>
    <row r="72" spans="1:9" ht="17.25" customHeight="1">
      <c r="A72" s="1700"/>
      <c r="B72" s="771" t="s">
        <v>350</v>
      </c>
      <c r="C72" s="786" t="s">
        <v>1366</v>
      </c>
      <c r="D72" s="759" t="s">
        <v>1361</v>
      </c>
      <c r="E72" s="98">
        <v>199</v>
      </c>
      <c r="F72" s="99">
        <v>284</v>
      </c>
      <c r="G72" s="120">
        <v>198</v>
      </c>
      <c r="H72" s="120">
        <v>444</v>
      </c>
      <c r="I72" s="121">
        <v>861</v>
      </c>
    </row>
    <row r="73" spans="1:9" ht="17.25" customHeight="1">
      <c r="A73" s="1700"/>
      <c r="B73" s="771" t="s">
        <v>350</v>
      </c>
      <c r="C73" s="786" t="s">
        <v>1367</v>
      </c>
      <c r="D73" s="759" t="s">
        <v>1361</v>
      </c>
      <c r="E73" s="98">
        <v>322</v>
      </c>
      <c r="F73" s="99">
        <v>382</v>
      </c>
      <c r="G73" s="120">
        <v>357</v>
      </c>
      <c r="H73" s="120">
        <v>622</v>
      </c>
      <c r="I73" s="121">
        <v>742</v>
      </c>
    </row>
    <row r="74" spans="1:9" ht="17.25" customHeight="1">
      <c r="A74" s="1700"/>
      <c r="B74" s="771" t="s">
        <v>350</v>
      </c>
      <c r="C74" s="786" t="s">
        <v>1368</v>
      </c>
      <c r="D74" s="759" t="s">
        <v>1361</v>
      </c>
      <c r="E74" s="98">
        <v>173</v>
      </c>
      <c r="F74" s="99">
        <v>156</v>
      </c>
      <c r="G74" s="120">
        <v>169</v>
      </c>
      <c r="H74" s="120">
        <v>438</v>
      </c>
      <c r="I74" s="121">
        <v>503</v>
      </c>
    </row>
    <row r="75" spans="1:9" ht="25.5">
      <c r="A75" s="1700"/>
      <c r="B75" s="771" t="s">
        <v>350</v>
      </c>
      <c r="C75" s="786" t="s">
        <v>1369</v>
      </c>
      <c r="D75" s="759" t="s">
        <v>1361</v>
      </c>
      <c r="E75" s="98">
        <v>108</v>
      </c>
      <c r="F75" s="99">
        <v>37</v>
      </c>
      <c r="G75" s="120">
        <v>0</v>
      </c>
      <c r="H75" s="120">
        <v>1118</v>
      </c>
      <c r="I75" s="121">
        <v>374</v>
      </c>
    </row>
    <row r="76" spans="1:9" ht="17.25" customHeight="1">
      <c r="A76" s="1700"/>
      <c r="B76" s="771" t="s">
        <v>350</v>
      </c>
      <c r="C76" s="786" t="s">
        <v>1370</v>
      </c>
      <c r="D76" s="759" t="s">
        <v>345</v>
      </c>
      <c r="E76" s="98">
        <v>405</v>
      </c>
      <c r="F76" s="99">
        <v>214</v>
      </c>
      <c r="G76" s="120">
        <v>213</v>
      </c>
      <c r="H76" s="120">
        <v>849</v>
      </c>
      <c r="I76" s="121">
        <v>621</v>
      </c>
    </row>
    <row r="77" spans="1:9" ht="25.5">
      <c r="A77" s="1701"/>
      <c r="B77" s="772" t="s">
        <v>156</v>
      </c>
      <c r="C77" s="786" t="s">
        <v>1371</v>
      </c>
      <c r="D77" s="768" t="s">
        <v>1372</v>
      </c>
      <c r="E77" s="117">
        <v>151</v>
      </c>
      <c r="F77" s="118">
        <v>64</v>
      </c>
      <c r="G77" s="123">
        <v>0</v>
      </c>
      <c r="H77" s="123">
        <v>294</v>
      </c>
      <c r="I77" s="124">
        <v>63</v>
      </c>
    </row>
    <row r="78" spans="1:9" ht="25.5">
      <c r="A78" s="1701"/>
      <c r="B78" s="772" t="s">
        <v>156</v>
      </c>
      <c r="C78" s="786" t="s">
        <v>1373</v>
      </c>
      <c r="D78" s="768" t="s">
        <v>1374</v>
      </c>
      <c r="E78" s="117">
        <v>82</v>
      </c>
      <c r="F78" s="118">
        <v>39</v>
      </c>
      <c r="G78" s="123">
        <v>0</v>
      </c>
      <c r="H78" s="123">
        <v>551</v>
      </c>
      <c r="I78" s="124">
        <v>208</v>
      </c>
    </row>
    <row r="79" spans="1:9" ht="17.25" customHeight="1">
      <c r="A79" s="1701"/>
      <c r="B79" s="772" t="s">
        <v>156</v>
      </c>
      <c r="C79" s="786" t="s">
        <v>1377</v>
      </c>
      <c r="D79" s="768" t="s">
        <v>829</v>
      </c>
      <c r="E79" s="117">
        <v>0</v>
      </c>
      <c r="F79" s="118">
        <v>0</v>
      </c>
      <c r="G79" s="123">
        <v>0</v>
      </c>
      <c r="H79" s="123">
        <v>0</v>
      </c>
      <c r="I79" s="124">
        <v>0</v>
      </c>
    </row>
    <row r="80" spans="1:9" ht="25.5">
      <c r="A80" s="1701"/>
      <c r="B80" s="772" t="s">
        <v>156</v>
      </c>
      <c r="C80" s="786" t="s">
        <v>1371</v>
      </c>
      <c r="D80" s="768" t="s">
        <v>1375</v>
      </c>
      <c r="E80" s="117">
        <v>0</v>
      </c>
      <c r="F80" s="118">
        <v>85</v>
      </c>
      <c r="G80" s="123">
        <v>25</v>
      </c>
      <c r="H80" s="123">
        <v>85</v>
      </c>
      <c r="I80" s="124">
        <v>94</v>
      </c>
    </row>
    <row r="81" spans="1:9" ht="25.5">
      <c r="A81" s="1701"/>
      <c r="B81" s="772" t="s">
        <v>156</v>
      </c>
      <c r="C81" s="786" t="s">
        <v>1373</v>
      </c>
      <c r="D81" s="768" t="s">
        <v>1376</v>
      </c>
      <c r="E81" s="117">
        <v>0</v>
      </c>
      <c r="F81" s="118">
        <v>89</v>
      </c>
      <c r="G81" s="123">
        <v>10</v>
      </c>
      <c r="H81" s="123">
        <v>89</v>
      </c>
      <c r="I81" s="124">
        <v>83</v>
      </c>
    </row>
    <row r="82" spans="1:9" ht="17.25" customHeight="1">
      <c r="A82" s="1701"/>
      <c r="B82" s="772" t="s">
        <v>156</v>
      </c>
      <c r="C82" s="786" t="s">
        <v>1378</v>
      </c>
      <c r="D82" s="768" t="s">
        <v>1379</v>
      </c>
      <c r="E82" s="117">
        <v>413</v>
      </c>
      <c r="F82" s="118">
        <v>487</v>
      </c>
      <c r="G82" s="123">
        <v>235</v>
      </c>
      <c r="H82" s="123">
        <v>1102</v>
      </c>
      <c r="I82" s="124">
        <v>1095</v>
      </c>
    </row>
    <row r="83" spans="1:9" ht="17.25" customHeight="1">
      <c r="A83" s="1701"/>
      <c r="B83" s="772" t="s">
        <v>156</v>
      </c>
      <c r="C83" s="786" t="s">
        <v>1319</v>
      </c>
      <c r="D83" s="768" t="s">
        <v>345</v>
      </c>
      <c r="E83" s="117">
        <v>148</v>
      </c>
      <c r="F83" s="118">
        <v>174</v>
      </c>
      <c r="G83" s="123">
        <v>109</v>
      </c>
      <c r="H83" s="123">
        <v>410</v>
      </c>
      <c r="I83" s="124">
        <v>402</v>
      </c>
    </row>
    <row r="84" spans="1:9" ht="17.25" customHeight="1">
      <c r="A84" s="1701"/>
      <c r="B84" s="772" t="s">
        <v>156</v>
      </c>
      <c r="C84" s="786" t="s">
        <v>376</v>
      </c>
      <c r="D84" s="768" t="s">
        <v>345</v>
      </c>
      <c r="E84" s="117">
        <v>48</v>
      </c>
      <c r="F84" s="118">
        <v>47</v>
      </c>
      <c r="G84" s="123">
        <v>33</v>
      </c>
      <c r="H84" s="123">
        <v>136</v>
      </c>
      <c r="I84" s="124">
        <v>93</v>
      </c>
    </row>
    <row r="85" spans="1:9" ht="17.25" customHeight="1">
      <c r="A85" s="1701"/>
      <c r="B85" s="122" t="s">
        <v>351</v>
      </c>
      <c r="C85" s="779"/>
      <c r="D85" s="115"/>
      <c r="E85" s="117"/>
      <c r="F85" s="118"/>
      <c r="G85" s="123"/>
      <c r="H85" s="123"/>
      <c r="I85" s="124"/>
    </row>
    <row r="86" spans="1:9" ht="17.25" customHeight="1">
      <c r="A86" s="1701"/>
      <c r="B86" s="122" t="s">
        <v>134</v>
      </c>
      <c r="C86" s="779"/>
      <c r="D86" s="115"/>
      <c r="E86" s="117"/>
      <c r="F86" s="118"/>
      <c r="G86" s="123"/>
      <c r="H86" s="123"/>
      <c r="I86" s="124"/>
    </row>
    <row r="87" spans="1:9" ht="17.25" hidden="1" customHeight="1">
      <c r="A87" s="1701"/>
      <c r="B87" s="125" t="s">
        <v>352</v>
      </c>
      <c r="C87" s="780"/>
      <c r="D87" s="125"/>
      <c r="E87" s="126"/>
      <c r="F87" s="127"/>
      <c r="G87" s="128"/>
      <c r="H87" s="128"/>
      <c r="I87" s="129"/>
    </row>
    <row r="88" spans="1:9" ht="17.25" customHeight="1">
      <c r="A88" s="1700" t="s">
        <v>985</v>
      </c>
      <c r="B88" s="790" t="s">
        <v>350</v>
      </c>
      <c r="C88" s="778" t="s">
        <v>354</v>
      </c>
      <c r="D88" s="110"/>
      <c r="E88" s="112"/>
      <c r="F88" s="113"/>
      <c r="G88" s="131"/>
      <c r="H88" s="131"/>
      <c r="I88" s="132"/>
    </row>
    <row r="89" spans="1:9" ht="17.25" customHeight="1">
      <c r="A89" s="1700"/>
      <c r="B89" s="790" t="s">
        <v>350</v>
      </c>
      <c r="C89" s="786" t="s">
        <v>1380</v>
      </c>
      <c r="D89" s="759" t="s">
        <v>1382</v>
      </c>
      <c r="E89" s="98">
        <v>431</v>
      </c>
      <c r="F89" s="99">
        <v>148</v>
      </c>
      <c r="G89" s="120">
        <v>512</v>
      </c>
      <c r="H89" s="120">
        <v>971</v>
      </c>
      <c r="I89" s="121">
        <v>1440</v>
      </c>
    </row>
    <row r="90" spans="1:9" ht="17.25" customHeight="1">
      <c r="A90" s="1700"/>
      <c r="B90" s="790" t="s">
        <v>350</v>
      </c>
      <c r="C90" s="786" t="s">
        <v>1381</v>
      </c>
      <c r="D90" s="759" t="s">
        <v>1383</v>
      </c>
      <c r="E90" s="98">
        <v>869</v>
      </c>
      <c r="F90" s="99">
        <v>803</v>
      </c>
      <c r="G90" s="120">
        <v>0</v>
      </c>
      <c r="H90" s="120">
        <v>3100</v>
      </c>
      <c r="I90" s="121">
        <v>0</v>
      </c>
    </row>
    <row r="91" spans="1:9" ht="17.25" customHeight="1">
      <c r="A91" s="1701"/>
      <c r="B91" s="122" t="s">
        <v>156</v>
      </c>
      <c r="C91" s="779"/>
      <c r="D91" s="115"/>
      <c r="E91" s="117"/>
      <c r="F91" s="118"/>
      <c r="G91" s="123"/>
      <c r="H91" s="123"/>
      <c r="I91" s="124"/>
    </row>
    <row r="92" spans="1:9" ht="17.25" customHeight="1">
      <c r="A92" s="1701"/>
      <c r="B92" s="122" t="s">
        <v>351</v>
      </c>
      <c r="C92" s="779"/>
      <c r="D92" s="115"/>
      <c r="E92" s="117"/>
      <c r="F92" s="118"/>
      <c r="G92" s="123"/>
      <c r="H92" s="123"/>
      <c r="I92" s="124"/>
    </row>
    <row r="93" spans="1:9" ht="17.25" customHeight="1">
      <c r="A93" s="1701"/>
      <c r="B93" s="122" t="s">
        <v>134</v>
      </c>
      <c r="C93" s="779"/>
      <c r="D93" s="115"/>
      <c r="E93" s="117"/>
      <c r="F93" s="118"/>
      <c r="G93" s="123"/>
      <c r="H93" s="123"/>
      <c r="I93" s="124"/>
    </row>
    <row r="94" spans="1:9" ht="17.25" customHeight="1">
      <c r="A94" s="1701"/>
      <c r="B94" s="103" t="s">
        <v>352</v>
      </c>
      <c r="C94" s="780"/>
      <c r="D94" s="103"/>
      <c r="E94" s="105"/>
      <c r="F94" s="106"/>
      <c r="G94" s="133"/>
      <c r="H94" s="133"/>
      <c r="I94" s="134"/>
    </row>
    <row r="95" spans="1:9" ht="17.25" hidden="1" customHeight="1">
      <c r="A95" s="748"/>
      <c r="B95" s="761"/>
      <c r="C95" s="779"/>
      <c r="D95" s="761"/>
      <c r="E95" s="763"/>
      <c r="F95" s="764"/>
      <c r="G95" s="792"/>
      <c r="H95" s="792"/>
      <c r="I95" s="793"/>
    </row>
    <row r="96" spans="1:9" ht="17.25" hidden="1" customHeight="1">
      <c r="A96" s="135"/>
      <c r="B96" s="135"/>
      <c r="C96" s="810"/>
      <c r="D96" s="135"/>
      <c r="E96" s="135"/>
      <c r="F96" s="135"/>
      <c r="G96" s="136"/>
      <c r="H96" s="136"/>
      <c r="I96" s="136"/>
    </row>
    <row r="97" spans="1:16" ht="17.25" customHeight="1">
      <c r="A97" s="135"/>
      <c r="B97" s="135"/>
      <c r="C97" s="810"/>
      <c r="D97" s="135"/>
      <c r="E97" s="135"/>
      <c r="F97" s="135"/>
      <c r="G97" s="136"/>
      <c r="H97" s="136"/>
      <c r="I97" s="136"/>
    </row>
    <row r="98" spans="1:16" ht="17.25" customHeight="1">
      <c r="A98" s="135"/>
      <c r="B98" s="135"/>
      <c r="C98" s="810"/>
      <c r="D98" s="135"/>
      <c r="E98" s="135"/>
      <c r="F98" s="135"/>
      <c r="G98" s="136"/>
      <c r="H98" s="136"/>
      <c r="I98" s="136"/>
    </row>
    <row r="99" spans="1:16" ht="30.75" customHeight="1">
      <c r="A99" s="1699" t="s">
        <v>987</v>
      </c>
      <c r="B99" s="1699"/>
      <c r="C99" s="1699"/>
      <c r="D99" s="1699"/>
      <c r="E99" s="1699"/>
      <c r="F99" s="1699"/>
      <c r="G99" s="1699"/>
      <c r="H99" s="1699"/>
      <c r="I99" s="1699"/>
    </row>
    <row r="100" spans="1:16" ht="20.100000000000001" customHeight="1">
      <c r="A100" s="1691" t="s">
        <v>726</v>
      </c>
      <c r="B100" s="1691" t="s">
        <v>341</v>
      </c>
      <c r="C100" s="1691" t="s">
        <v>342</v>
      </c>
      <c r="D100" s="1691" t="s">
        <v>343</v>
      </c>
      <c r="E100" s="1692" t="s">
        <v>723</v>
      </c>
      <c r="F100" s="1692"/>
      <c r="G100" s="1692"/>
      <c r="H100" s="1692" t="s">
        <v>724</v>
      </c>
      <c r="I100" s="1692"/>
    </row>
    <row r="101" spans="1:16" s="95" customFormat="1" ht="30" customHeight="1">
      <c r="A101" s="1691"/>
      <c r="B101" s="1691"/>
      <c r="C101" s="1691"/>
      <c r="D101" s="1691"/>
      <c r="E101" s="749">
        <v>2018</v>
      </c>
      <c r="F101" s="749">
        <v>2019</v>
      </c>
      <c r="G101" s="749">
        <v>2020</v>
      </c>
      <c r="H101" s="749">
        <v>2019</v>
      </c>
      <c r="I101" s="749">
        <v>2020</v>
      </c>
      <c r="J101" s="93"/>
      <c r="K101" s="93"/>
      <c r="L101" s="93"/>
      <c r="M101" s="93"/>
      <c r="N101" s="93"/>
      <c r="O101" s="93"/>
      <c r="P101" s="93"/>
    </row>
    <row r="102" spans="1:16" ht="17.25" customHeight="1">
      <c r="A102" s="1700" t="s">
        <v>985</v>
      </c>
      <c r="B102" s="771" t="s">
        <v>350</v>
      </c>
      <c r="C102" s="788" t="s">
        <v>355</v>
      </c>
      <c r="D102" s="96"/>
      <c r="E102" s="98"/>
      <c r="F102" s="99"/>
      <c r="G102" s="120"/>
      <c r="H102" s="120"/>
      <c r="I102" s="121"/>
    </row>
    <row r="103" spans="1:16" ht="25.5">
      <c r="A103" s="1700"/>
      <c r="B103" s="771" t="s">
        <v>350</v>
      </c>
      <c r="C103" s="770" t="s">
        <v>1385</v>
      </c>
      <c r="D103" s="759" t="s">
        <v>829</v>
      </c>
      <c r="E103" s="98">
        <v>0</v>
      </c>
      <c r="F103" s="99">
        <v>0</v>
      </c>
      <c r="G103" s="120">
        <v>0</v>
      </c>
      <c r="H103" s="120">
        <v>19</v>
      </c>
      <c r="I103" s="775" t="s">
        <v>1363</v>
      </c>
    </row>
    <row r="104" spans="1:16" ht="17.25" customHeight="1">
      <c r="A104" s="1700"/>
      <c r="B104" s="771" t="s">
        <v>350</v>
      </c>
      <c r="C104" s="786" t="s">
        <v>1386</v>
      </c>
      <c r="D104" s="759" t="s">
        <v>1375</v>
      </c>
      <c r="E104" s="98">
        <v>0</v>
      </c>
      <c r="F104" s="99">
        <v>243</v>
      </c>
      <c r="G104" s="120">
        <v>575</v>
      </c>
      <c r="H104" s="120">
        <v>243</v>
      </c>
      <c r="I104" s="121">
        <v>772</v>
      </c>
    </row>
    <row r="105" spans="1:16" ht="25.5">
      <c r="A105" s="1700"/>
      <c r="B105" s="771" t="s">
        <v>350</v>
      </c>
      <c r="C105" s="786" t="s">
        <v>1387</v>
      </c>
      <c r="D105" s="759" t="s">
        <v>1379</v>
      </c>
      <c r="E105" s="98">
        <v>14</v>
      </c>
      <c r="F105" s="99">
        <v>2</v>
      </c>
      <c r="G105" s="120">
        <v>0</v>
      </c>
      <c r="H105" s="120">
        <v>111</v>
      </c>
      <c r="I105" s="775" t="s">
        <v>1363</v>
      </c>
    </row>
    <row r="106" spans="1:16" ht="17.25" customHeight="1">
      <c r="A106" s="1701"/>
      <c r="B106" s="122" t="s">
        <v>156</v>
      </c>
      <c r="C106" s="786" t="s">
        <v>1388</v>
      </c>
      <c r="D106" s="768" t="s">
        <v>829</v>
      </c>
      <c r="E106" s="117">
        <v>73</v>
      </c>
      <c r="F106" s="118">
        <v>56</v>
      </c>
      <c r="G106" s="123">
        <v>86</v>
      </c>
      <c r="H106" s="123">
        <v>74</v>
      </c>
      <c r="I106" s="124">
        <v>98</v>
      </c>
    </row>
    <row r="107" spans="1:16" ht="17.25" customHeight="1">
      <c r="A107" s="1701"/>
      <c r="B107" s="122" t="s">
        <v>351</v>
      </c>
      <c r="C107" s="786"/>
      <c r="D107" s="115"/>
      <c r="E107" s="117"/>
      <c r="F107" s="118"/>
      <c r="G107" s="123"/>
      <c r="H107" s="123"/>
      <c r="I107" s="124"/>
    </row>
    <row r="108" spans="1:16" ht="17.25" customHeight="1">
      <c r="A108" s="1701"/>
      <c r="B108" s="122" t="s">
        <v>134</v>
      </c>
      <c r="C108" s="786"/>
      <c r="D108" s="115"/>
      <c r="E108" s="117"/>
      <c r="F108" s="118"/>
      <c r="G108" s="123"/>
      <c r="H108" s="123"/>
      <c r="I108" s="124"/>
    </row>
    <row r="109" spans="1:16" ht="38.25">
      <c r="A109" s="1701"/>
      <c r="B109" s="103" t="s">
        <v>352</v>
      </c>
      <c r="C109" s="787"/>
      <c r="D109" s="103"/>
      <c r="E109" s="105"/>
      <c r="F109" s="106"/>
      <c r="G109" s="133"/>
      <c r="H109" s="133"/>
      <c r="I109" s="134"/>
    </row>
    <row r="110" spans="1:16" ht="10.5" customHeight="1">
      <c r="A110" s="135"/>
      <c r="B110" s="135"/>
      <c r="C110" s="136"/>
      <c r="D110" s="135"/>
      <c r="E110" s="135"/>
      <c r="F110" s="135"/>
      <c r="G110" s="136"/>
      <c r="H110" s="136"/>
      <c r="I110" s="136"/>
    </row>
    <row r="111" spans="1:16" ht="23.25" customHeight="1">
      <c r="A111" s="1700" t="s">
        <v>985</v>
      </c>
      <c r="B111" s="795" t="s">
        <v>350</v>
      </c>
      <c r="C111" s="796" t="s">
        <v>1384</v>
      </c>
      <c r="D111" s="797"/>
      <c r="E111" s="797"/>
      <c r="F111" s="797"/>
      <c r="G111" s="798"/>
      <c r="H111" s="798"/>
      <c r="I111" s="798"/>
    </row>
    <row r="112" spans="1:16" ht="25.5" customHeight="1">
      <c r="A112" s="1700"/>
      <c r="B112" s="751" t="s">
        <v>350</v>
      </c>
      <c r="C112" s="786" t="s">
        <v>1389</v>
      </c>
      <c r="D112" s="759" t="s">
        <v>1361</v>
      </c>
      <c r="E112" s="98">
        <v>312</v>
      </c>
      <c r="F112" s="99">
        <v>553</v>
      </c>
      <c r="G112" s="120">
        <v>616</v>
      </c>
      <c r="H112" s="120">
        <v>944</v>
      </c>
      <c r="I112" s="121">
        <v>1384</v>
      </c>
    </row>
    <row r="113" spans="1:16" ht="25.5" customHeight="1">
      <c r="A113" s="1700"/>
      <c r="B113" s="751" t="s">
        <v>350</v>
      </c>
      <c r="C113" s="786" t="s">
        <v>1390</v>
      </c>
      <c r="D113" s="759" t="s">
        <v>1361</v>
      </c>
      <c r="E113" s="98">
        <v>155</v>
      </c>
      <c r="F113" s="99">
        <v>203</v>
      </c>
      <c r="G113" s="120">
        <v>250</v>
      </c>
      <c r="H113" s="120">
        <v>432</v>
      </c>
      <c r="I113" s="121">
        <v>620</v>
      </c>
    </row>
    <row r="114" spans="1:16" ht="25.5" customHeight="1">
      <c r="A114" s="1700"/>
      <c r="B114" s="751" t="s">
        <v>350</v>
      </c>
      <c r="C114" s="786" t="s">
        <v>1391</v>
      </c>
      <c r="D114" s="759" t="s">
        <v>1361</v>
      </c>
      <c r="E114" s="98">
        <v>50</v>
      </c>
      <c r="F114" s="99">
        <v>61</v>
      </c>
      <c r="G114" s="120">
        <v>132</v>
      </c>
      <c r="H114" s="120">
        <v>123</v>
      </c>
      <c r="I114" s="121">
        <v>229</v>
      </c>
    </row>
    <row r="115" spans="1:16" ht="25.5" customHeight="1">
      <c r="A115" s="1700"/>
      <c r="B115" s="751" t="s">
        <v>350</v>
      </c>
      <c r="C115" s="786" t="s">
        <v>1392</v>
      </c>
      <c r="D115" s="759" t="s">
        <v>1361</v>
      </c>
      <c r="E115" s="98">
        <v>0</v>
      </c>
      <c r="F115" s="99">
        <v>21</v>
      </c>
      <c r="G115" s="120">
        <v>34</v>
      </c>
      <c r="H115" s="120">
        <v>21</v>
      </c>
      <c r="I115" s="121">
        <v>53</v>
      </c>
    </row>
    <row r="116" spans="1:16" ht="25.5" customHeight="1">
      <c r="A116" s="1700"/>
      <c r="B116" s="751" t="s">
        <v>350</v>
      </c>
      <c r="C116" s="786" t="s">
        <v>1393</v>
      </c>
      <c r="D116" s="759" t="s">
        <v>1361</v>
      </c>
      <c r="E116" s="98">
        <v>33</v>
      </c>
      <c r="F116" s="99">
        <v>40</v>
      </c>
      <c r="G116" s="120">
        <v>46</v>
      </c>
      <c r="H116" s="120">
        <v>117</v>
      </c>
      <c r="I116" s="121">
        <v>126</v>
      </c>
    </row>
    <row r="117" spans="1:16" ht="25.5" customHeight="1">
      <c r="A117" s="1700"/>
      <c r="B117" s="751" t="s">
        <v>350</v>
      </c>
      <c r="C117" s="786" t="s">
        <v>1394</v>
      </c>
      <c r="D117" s="759" t="s">
        <v>1361</v>
      </c>
      <c r="E117" s="98">
        <v>59</v>
      </c>
      <c r="F117" s="99">
        <v>109</v>
      </c>
      <c r="G117" s="120">
        <v>130</v>
      </c>
      <c r="H117" s="120">
        <v>153</v>
      </c>
      <c r="I117" s="121">
        <v>260</v>
      </c>
    </row>
    <row r="118" spans="1:16" ht="25.5" customHeight="1">
      <c r="A118" s="1700"/>
      <c r="B118" s="751" t="s">
        <v>350</v>
      </c>
      <c r="C118" s="786" t="s">
        <v>1395</v>
      </c>
      <c r="D118" s="759" t="s">
        <v>1361</v>
      </c>
      <c r="E118" s="98">
        <v>27</v>
      </c>
      <c r="F118" s="99">
        <v>19</v>
      </c>
      <c r="G118" s="120">
        <v>19</v>
      </c>
      <c r="H118" s="120">
        <v>46</v>
      </c>
      <c r="I118" s="121">
        <v>50</v>
      </c>
    </row>
    <row r="119" spans="1:16" ht="25.5" customHeight="1">
      <c r="A119" s="1700"/>
      <c r="B119" s="751" t="s">
        <v>350</v>
      </c>
      <c r="C119" s="786" t="s">
        <v>1396</v>
      </c>
      <c r="D119" s="759" t="s">
        <v>1361</v>
      </c>
      <c r="E119" s="98">
        <v>83</v>
      </c>
      <c r="F119" s="99">
        <v>100</v>
      </c>
      <c r="G119" s="120">
        <v>125</v>
      </c>
      <c r="H119" s="120">
        <v>226</v>
      </c>
      <c r="I119" s="121">
        <v>294</v>
      </c>
    </row>
    <row r="120" spans="1:16" ht="25.5" customHeight="1">
      <c r="A120" s="1700"/>
      <c r="B120" s="751" t="s">
        <v>350</v>
      </c>
      <c r="C120" s="786" t="s">
        <v>1397</v>
      </c>
      <c r="D120" s="759" t="s">
        <v>1361</v>
      </c>
      <c r="E120" s="98">
        <v>0</v>
      </c>
      <c r="F120" s="99">
        <v>26</v>
      </c>
      <c r="G120" s="120">
        <v>29</v>
      </c>
      <c r="H120" s="120">
        <v>43</v>
      </c>
      <c r="I120" s="121">
        <v>56</v>
      </c>
    </row>
    <row r="121" spans="1:16" ht="25.5" customHeight="1">
      <c r="A121" s="1700"/>
      <c r="B121" s="751" t="s">
        <v>350</v>
      </c>
      <c r="C121" s="786" t="s">
        <v>1398</v>
      </c>
      <c r="D121" s="759" t="s">
        <v>1361</v>
      </c>
      <c r="E121" s="98">
        <v>98</v>
      </c>
      <c r="F121" s="99">
        <v>96</v>
      </c>
      <c r="G121" s="120">
        <v>118</v>
      </c>
      <c r="H121" s="120">
        <v>199</v>
      </c>
      <c r="I121" s="121">
        <v>277</v>
      </c>
    </row>
    <row r="122" spans="1:16" ht="15" hidden="1" customHeight="1">
      <c r="A122" s="1701"/>
      <c r="B122" s="122" t="s">
        <v>156</v>
      </c>
      <c r="C122" s="779"/>
      <c r="D122" s="115"/>
      <c r="E122" s="117"/>
      <c r="F122" s="118"/>
      <c r="G122" s="123"/>
      <c r="H122" s="123"/>
      <c r="I122" s="124"/>
    </row>
    <row r="123" spans="1:16" ht="15" hidden="1" customHeight="1">
      <c r="A123" s="1701"/>
      <c r="B123" s="122" t="s">
        <v>351</v>
      </c>
      <c r="C123" s="779"/>
      <c r="D123" s="115"/>
      <c r="E123" s="117"/>
      <c r="F123" s="118"/>
      <c r="G123" s="123"/>
      <c r="H123" s="123"/>
      <c r="I123" s="124"/>
    </row>
    <row r="124" spans="1:16" ht="15" hidden="1" customHeight="1">
      <c r="A124" s="1701"/>
      <c r="B124" s="122" t="s">
        <v>134</v>
      </c>
      <c r="C124" s="779"/>
      <c r="D124" s="115"/>
      <c r="E124" s="117"/>
      <c r="F124" s="118"/>
      <c r="G124" s="123"/>
      <c r="H124" s="123"/>
      <c r="I124" s="124"/>
    </row>
    <row r="125" spans="1:16" ht="15" hidden="1" customHeight="1">
      <c r="A125" s="1701"/>
      <c r="B125" s="103" t="s">
        <v>352</v>
      </c>
      <c r="C125" s="780"/>
      <c r="D125" s="103"/>
      <c r="E125" s="105"/>
      <c r="F125" s="106"/>
      <c r="G125" s="133"/>
      <c r="H125" s="133"/>
      <c r="I125" s="134"/>
    </row>
    <row r="126" spans="1:16" ht="17.25" customHeight="1">
      <c r="A126" s="1712" t="s">
        <v>356</v>
      </c>
      <c r="B126" s="1712"/>
      <c r="C126" s="1712"/>
      <c r="D126" s="1712"/>
      <c r="E126" s="1712"/>
      <c r="F126" s="1712"/>
      <c r="G126" s="1712"/>
      <c r="H126" s="1712"/>
      <c r="I126" s="1712"/>
    </row>
    <row r="127" spans="1:16" s="95" customFormat="1" ht="18.75" customHeight="1">
      <c r="A127" s="1713" t="s">
        <v>341</v>
      </c>
      <c r="B127" s="1713" t="s">
        <v>342</v>
      </c>
      <c r="C127" s="1715" t="s">
        <v>357</v>
      </c>
      <c r="D127" s="1717">
        <v>2019</v>
      </c>
      <c r="E127" s="1718"/>
      <c r="F127" s="1719"/>
      <c r="G127" s="1718">
        <v>2020</v>
      </c>
      <c r="H127" s="1718"/>
      <c r="I127" s="1719"/>
      <c r="J127" s="93"/>
      <c r="K127" s="93"/>
      <c r="L127" s="93"/>
      <c r="M127" s="93"/>
      <c r="N127" s="93"/>
      <c r="O127" s="93"/>
      <c r="P127" s="93"/>
    </row>
    <row r="128" spans="1:16" s="95" customFormat="1" ht="21" customHeight="1">
      <c r="A128" s="1714"/>
      <c r="B128" s="1714"/>
      <c r="C128" s="1716"/>
      <c r="D128" s="137" t="s">
        <v>358</v>
      </c>
      <c r="E128" s="137" t="s">
        <v>992</v>
      </c>
      <c r="F128" s="137" t="s">
        <v>359</v>
      </c>
      <c r="G128" s="137" t="s">
        <v>358</v>
      </c>
      <c r="H128" s="137" t="s">
        <v>992</v>
      </c>
      <c r="I128" s="137" t="s">
        <v>359</v>
      </c>
      <c r="J128" s="93"/>
      <c r="K128" s="93"/>
      <c r="L128" s="93"/>
      <c r="M128" s="93"/>
      <c r="N128" s="93"/>
      <c r="O128" s="93"/>
      <c r="P128" s="93"/>
    </row>
    <row r="129" spans="1:9" ht="16.5" customHeight="1">
      <c r="A129" s="1686" t="s">
        <v>154</v>
      </c>
      <c r="B129" s="1702" t="s">
        <v>360</v>
      </c>
      <c r="C129" s="138" t="s">
        <v>361</v>
      </c>
      <c r="D129" s="139">
        <v>5782</v>
      </c>
      <c r="E129" s="140">
        <v>11375</v>
      </c>
      <c r="F129" s="140">
        <v>4643</v>
      </c>
      <c r="G129" s="140">
        <v>6849</v>
      </c>
      <c r="H129" s="140">
        <v>9444</v>
      </c>
      <c r="I129" s="1709" t="s">
        <v>1402</v>
      </c>
    </row>
    <row r="130" spans="1:9" ht="15.75" customHeight="1">
      <c r="A130" s="1687"/>
      <c r="B130" s="1703"/>
      <c r="C130" s="104" t="s">
        <v>362</v>
      </c>
      <c r="D130" s="141">
        <v>5318</v>
      </c>
      <c r="E130" s="106">
        <v>9303</v>
      </c>
      <c r="F130" s="106">
        <v>4217</v>
      </c>
      <c r="G130" s="141">
        <v>4190</v>
      </c>
      <c r="H130" s="133">
        <v>5906</v>
      </c>
      <c r="I130" s="1710"/>
    </row>
    <row r="131" spans="1:9" ht="15.75" customHeight="1">
      <c r="A131" s="1687"/>
      <c r="B131" s="1690" t="s">
        <v>363</v>
      </c>
      <c r="C131" s="142" t="s">
        <v>361</v>
      </c>
      <c r="D131" s="98">
        <v>189</v>
      </c>
      <c r="E131" s="99">
        <v>259</v>
      </c>
      <c r="F131" s="99">
        <v>173</v>
      </c>
      <c r="G131" s="794">
        <v>114</v>
      </c>
      <c r="H131" s="120">
        <v>137</v>
      </c>
      <c r="I131" s="1710"/>
    </row>
    <row r="132" spans="1:9" ht="15.75" customHeight="1">
      <c r="A132" s="1688"/>
      <c r="B132" s="1704"/>
      <c r="C132" s="116" t="s">
        <v>362</v>
      </c>
      <c r="D132" s="143">
        <v>187</v>
      </c>
      <c r="E132" s="106">
        <v>226</v>
      </c>
      <c r="F132" s="106">
        <v>167</v>
      </c>
      <c r="G132" s="143">
        <v>113</v>
      </c>
      <c r="H132" s="133">
        <v>134</v>
      </c>
      <c r="I132" s="1710"/>
    </row>
    <row r="133" spans="1:9" ht="14.25" customHeight="1">
      <c r="A133" s="751"/>
      <c r="B133" s="1707" t="s">
        <v>347</v>
      </c>
      <c r="C133" s="1708"/>
      <c r="D133" s="794"/>
      <c r="E133" s="764"/>
      <c r="F133" s="764"/>
      <c r="G133" s="794"/>
      <c r="H133" s="792"/>
      <c r="I133" s="1710"/>
    </row>
    <row r="134" spans="1:9">
      <c r="A134" s="1686" t="s">
        <v>156</v>
      </c>
      <c r="B134" s="1689" t="s">
        <v>403</v>
      </c>
      <c r="C134" s="138" t="s">
        <v>364</v>
      </c>
      <c r="D134" s="112">
        <v>126</v>
      </c>
      <c r="E134" s="113">
        <v>157</v>
      </c>
      <c r="F134" s="113">
        <v>11</v>
      </c>
      <c r="G134" s="809">
        <v>114</v>
      </c>
      <c r="H134" s="131">
        <v>142</v>
      </c>
      <c r="I134" s="1710"/>
    </row>
    <row r="135" spans="1:9">
      <c r="A135" s="1687"/>
      <c r="B135" s="1690"/>
      <c r="C135" s="144" t="s">
        <v>365</v>
      </c>
      <c r="D135" s="145"/>
      <c r="E135" s="127">
        <v>108</v>
      </c>
      <c r="F135" s="127">
        <v>92</v>
      </c>
      <c r="G135" s="145">
        <v>110</v>
      </c>
      <c r="H135" s="128">
        <v>122</v>
      </c>
      <c r="I135" s="1710"/>
    </row>
    <row r="136" spans="1:9">
      <c r="A136" s="1687"/>
      <c r="B136" s="1689" t="s">
        <v>408</v>
      </c>
      <c r="C136" s="138" t="s">
        <v>364</v>
      </c>
      <c r="D136" s="112">
        <v>605</v>
      </c>
      <c r="E136" s="113">
        <v>1012</v>
      </c>
      <c r="F136" s="113">
        <v>264</v>
      </c>
      <c r="G136" s="809">
        <v>520</v>
      </c>
      <c r="H136" s="131">
        <v>856</v>
      </c>
      <c r="I136" s="1710"/>
    </row>
    <row r="137" spans="1:9">
      <c r="A137" s="1687"/>
      <c r="B137" s="1690"/>
      <c r="C137" s="144" t="s">
        <v>365</v>
      </c>
      <c r="D137" s="145"/>
      <c r="E137" s="127">
        <v>317</v>
      </c>
      <c r="F137" s="127">
        <v>60</v>
      </c>
      <c r="G137" s="145">
        <v>275</v>
      </c>
      <c r="H137" s="128">
        <v>472</v>
      </c>
      <c r="I137" s="1710"/>
    </row>
    <row r="138" spans="1:9">
      <c r="A138" s="1687"/>
      <c r="B138" s="1689" t="s">
        <v>380</v>
      </c>
      <c r="C138" s="138" t="s">
        <v>364</v>
      </c>
      <c r="D138" s="112">
        <v>101</v>
      </c>
      <c r="E138" s="113">
        <v>134</v>
      </c>
      <c r="F138" s="113">
        <v>47</v>
      </c>
      <c r="G138" s="809">
        <v>83</v>
      </c>
      <c r="H138" s="131">
        <v>120</v>
      </c>
      <c r="I138" s="1710"/>
    </row>
    <row r="139" spans="1:9">
      <c r="A139" s="1687"/>
      <c r="B139" s="1690"/>
      <c r="C139" s="144" t="s">
        <v>365</v>
      </c>
      <c r="D139" s="145"/>
      <c r="E139" s="127">
        <v>60</v>
      </c>
      <c r="F139" s="127">
        <v>42</v>
      </c>
      <c r="G139" s="145">
        <v>55</v>
      </c>
      <c r="H139" s="128">
        <v>72</v>
      </c>
      <c r="I139" s="1710"/>
    </row>
    <row r="140" spans="1:9">
      <c r="A140" s="1687"/>
      <c r="B140" s="1689" t="s">
        <v>1311</v>
      </c>
      <c r="C140" s="138" t="s">
        <v>364</v>
      </c>
      <c r="D140" s="112">
        <v>3260</v>
      </c>
      <c r="E140" s="113">
        <v>4612</v>
      </c>
      <c r="F140" s="113">
        <v>3462</v>
      </c>
      <c r="G140" s="809">
        <v>2796</v>
      </c>
      <c r="H140" s="131">
        <v>3562</v>
      </c>
      <c r="I140" s="1710"/>
    </row>
    <row r="141" spans="1:9">
      <c r="A141" s="1687"/>
      <c r="B141" s="1690"/>
      <c r="C141" s="144" t="s">
        <v>365</v>
      </c>
      <c r="D141" s="145"/>
      <c r="E141" s="127">
        <v>2914</v>
      </c>
      <c r="F141" s="127">
        <v>2197</v>
      </c>
      <c r="G141" s="145">
        <v>2847</v>
      </c>
      <c r="H141" s="128">
        <v>3439</v>
      </c>
      <c r="I141" s="1710"/>
    </row>
    <row r="142" spans="1:9">
      <c r="A142" s="1687"/>
      <c r="B142" s="1689" t="s">
        <v>419</v>
      </c>
      <c r="C142" s="138" t="s">
        <v>364</v>
      </c>
      <c r="D142" s="112">
        <v>189</v>
      </c>
      <c r="E142" s="113">
        <v>285</v>
      </c>
      <c r="F142" s="113">
        <v>111</v>
      </c>
      <c r="G142" s="809">
        <v>151</v>
      </c>
      <c r="H142" s="131">
        <v>271</v>
      </c>
      <c r="I142" s="1710"/>
    </row>
    <row r="143" spans="1:9">
      <c r="A143" s="1687"/>
      <c r="B143" s="1690"/>
      <c r="C143" s="144" t="s">
        <v>365</v>
      </c>
      <c r="D143" s="145"/>
      <c r="E143" s="127">
        <v>203</v>
      </c>
      <c r="F143" s="127">
        <v>102</v>
      </c>
      <c r="G143" s="145">
        <v>126</v>
      </c>
      <c r="H143" s="128">
        <v>213</v>
      </c>
      <c r="I143" s="1710"/>
    </row>
    <row r="144" spans="1:9">
      <c r="A144" s="1687"/>
      <c r="B144" s="1689" t="s">
        <v>421</v>
      </c>
      <c r="C144" s="138" t="s">
        <v>364</v>
      </c>
      <c r="D144" s="112">
        <v>2</v>
      </c>
      <c r="E144" s="113">
        <v>3</v>
      </c>
      <c r="F144" s="113">
        <v>3</v>
      </c>
      <c r="G144" s="809">
        <v>6</v>
      </c>
      <c r="H144" s="131">
        <v>6</v>
      </c>
      <c r="I144" s="1710"/>
    </row>
    <row r="145" spans="1:9">
      <c r="A145" s="1687"/>
      <c r="B145" s="1690"/>
      <c r="C145" s="144" t="s">
        <v>365</v>
      </c>
      <c r="D145" s="145"/>
      <c r="E145" s="127">
        <v>2</v>
      </c>
      <c r="F145" s="127">
        <v>2</v>
      </c>
      <c r="G145" s="145">
        <v>2</v>
      </c>
      <c r="H145" s="128">
        <v>2</v>
      </c>
      <c r="I145" s="1710"/>
    </row>
    <row r="146" spans="1:9">
      <c r="A146" s="1687"/>
      <c r="B146" s="1689" t="s">
        <v>388</v>
      </c>
      <c r="C146" s="138" t="s">
        <v>364</v>
      </c>
      <c r="D146" s="112">
        <v>16</v>
      </c>
      <c r="E146" s="113">
        <v>28</v>
      </c>
      <c r="F146" s="113">
        <v>3</v>
      </c>
      <c r="G146" s="809">
        <v>17</v>
      </c>
      <c r="H146" s="131">
        <v>29</v>
      </c>
      <c r="I146" s="1710"/>
    </row>
    <row r="147" spans="1:9" ht="10.5" customHeight="1">
      <c r="A147" s="1687"/>
      <c r="B147" s="1690"/>
      <c r="C147" s="144" t="s">
        <v>365</v>
      </c>
      <c r="D147" s="145"/>
      <c r="E147" s="127">
        <v>13</v>
      </c>
      <c r="F147" s="127">
        <v>6</v>
      </c>
      <c r="G147" s="145">
        <v>8</v>
      </c>
      <c r="H147" s="128">
        <v>11</v>
      </c>
      <c r="I147" s="1710"/>
    </row>
    <row r="148" spans="1:9">
      <c r="A148" s="1687"/>
      <c r="B148" s="1689" t="s">
        <v>1399</v>
      </c>
      <c r="C148" s="138" t="s">
        <v>364</v>
      </c>
      <c r="D148" s="112">
        <v>856</v>
      </c>
      <c r="E148" s="113">
        <v>1577</v>
      </c>
      <c r="F148" s="113">
        <v>379</v>
      </c>
      <c r="G148" s="809">
        <v>716</v>
      </c>
      <c r="H148" s="131">
        <v>1308</v>
      </c>
      <c r="I148" s="1710"/>
    </row>
    <row r="149" spans="1:9">
      <c r="A149" s="1687"/>
      <c r="B149" s="1690"/>
      <c r="C149" s="144" t="s">
        <v>365</v>
      </c>
      <c r="D149" s="145"/>
      <c r="E149" s="127">
        <v>724</v>
      </c>
      <c r="F149" s="127">
        <v>328</v>
      </c>
      <c r="G149" s="145">
        <v>405</v>
      </c>
      <c r="H149" s="128">
        <v>693</v>
      </c>
      <c r="I149" s="1710"/>
    </row>
    <row r="150" spans="1:9">
      <c r="A150" s="1687"/>
      <c r="B150" s="1707" t="s">
        <v>348</v>
      </c>
      <c r="C150" s="1708"/>
      <c r="D150" s="791"/>
      <c r="E150" s="764"/>
      <c r="F150" s="764"/>
      <c r="G150" s="791"/>
      <c r="H150" s="792"/>
      <c r="I150" s="1710"/>
    </row>
    <row r="151" spans="1:9">
      <c r="A151" s="1687"/>
      <c r="B151" s="1689" t="s">
        <v>1400</v>
      </c>
      <c r="C151" s="138" t="s">
        <v>364</v>
      </c>
      <c r="D151" s="112">
        <v>285</v>
      </c>
      <c r="E151" s="113">
        <v>579</v>
      </c>
      <c r="F151" s="113">
        <v>328</v>
      </c>
      <c r="G151" s="809">
        <v>242</v>
      </c>
      <c r="H151" s="131">
        <v>383</v>
      </c>
      <c r="I151" s="1710"/>
    </row>
    <row r="152" spans="1:9" ht="10.5" customHeight="1">
      <c r="A152" s="1687"/>
      <c r="B152" s="1704"/>
      <c r="C152" s="104" t="s">
        <v>365</v>
      </c>
      <c r="D152" s="141"/>
      <c r="E152" s="106">
        <v>470</v>
      </c>
      <c r="F152" s="106">
        <v>267</v>
      </c>
      <c r="G152" s="141">
        <v>193</v>
      </c>
      <c r="H152" s="133">
        <v>360</v>
      </c>
      <c r="I152" s="1710"/>
    </row>
    <row r="153" spans="1:9">
      <c r="A153" s="1687"/>
      <c r="B153" s="1689" t="s">
        <v>1401</v>
      </c>
      <c r="C153" s="138" t="s">
        <v>364</v>
      </c>
      <c r="D153" s="112">
        <v>778</v>
      </c>
      <c r="E153" s="113">
        <v>1246</v>
      </c>
      <c r="F153" s="113">
        <v>391</v>
      </c>
      <c r="G153" s="809">
        <v>715</v>
      </c>
      <c r="H153" s="131">
        <v>1182</v>
      </c>
      <c r="I153" s="1710"/>
    </row>
    <row r="154" spans="1:9">
      <c r="A154" s="1687"/>
      <c r="B154" s="1704"/>
      <c r="C154" s="104" t="s">
        <v>365</v>
      </c>
      <c r="D154" s="141"/>
      <c r="E154" s="106">
        <v>730</v>
      </c>
      <c r="F154" s="106">
        <v>393</v>
      </c>
      <c r="G154" s="141">
        <v>474</v>
      </c>
      <c r="H154" s="133">
        <v>736</v>
      </c>
      <c r="I154" s="1710"/>
    </row>
    <row r="155" spans="1:9">
      <c r="A155" s="1687"/>
      <c r="B155" s="1707" t="s">
        <v>349</v>
      </c>
      <c r="C155" s="1708"/>
      <c r="D155" s="791"/>
      <c r="E155" s="764"/>
      <c r="F155" s="764"/>
      <c r="G155" s="791"/>
      <c r="H155" s="792"/>
      <c r="I155" s="1710"/>
    </row>
    <row r="156" spans="1:9" ht="14.25" customHeight="1">
      <c r="A156" s="1687"/>
      <c r="B156" s="1705" t="s">
        <v>376</v>
      </c>
      <c r="C156" s="138" t="s">
        <v>364</v>
      </c>
      <c r="D156" s="112">
        <v>502</v>
      </c>
      <c r="E156" s="113">
        <v>875</v>
      </c>
      <c r="F156" s="113">
        <v>585</v>
      </c>
      <c r="G156" s="809">
        <v>425</v>
      </c>
      <c r="H156" s="131">
        <v>592</v>
      </c>
      <c r="I156" s="1710"/>
    </row>
    <row r="157" spans="1:9" ht="14.25" customHeight="1">
      <c r="A157" s="1688"/>
      <c r="B157" s="1706"/>
      <c r="C157" s="104" t="s">
        <v>365</v>
      </c>
      <c r="D157" s="141"/>
      <c r="E157" s="106">
        <v>536</v>
      </c>
      <c r="F157" s="106">
        <v>370</v>
      </c>
      <c r="G157" s="141">
        <v>382</v>
      </c>
      <c r="H157" s="133">
        <v>518</v>
      </c>
      <c r="I157" s="1711"/>
    </row>
    <row r="158" spans="1:9">
      <c r="A158" s="146"/>
      <c r="B158" s="146"/>
      <c r="C158" s="147"/>
      <c r="D158" s="135"/>
      <c r="E158" s="135"/>
      <c r="F158" s="135"/>
      <c r="G158" s="136"/>
      <c r="H158" s="136"/>
      <c r="I158" s="136"/>
    </row>
    <row r="159" spans="1:9">
      <c r="D159" s="8">
        <f>SUM(D134:D156)</f>
        <v>6720</v>
      </c>
      <c r="G159" s="8">
        <f>SUM(G134:G156)</f>
        <v>10280</v>
      </c>
    </row>
    <row r="160" spans="1:9">
      <c r="D160" s="808">
        <f>D159*1800</f>
        <v>12096000</v>
      </c>
      <c r="G160" s="808">
        <f>G159*1800</f>
        <v>18504000</v>
      </c>
    </row>
    <row r="161" spans="4:7">
      <c r="D161" s="8">
        <f>SUM(D129:D132)</f>
        <v>11476</v>
      </c>
      <c r="G161" s="8">
        <f>SUM(G129:G132)</f>
        <v>11266</v>
      </c>
    </row>
    <row r="162" spans="4:7">
      <c r="D162" s="808">
        <f>D161*1800</f>
        <v>20656800</v>
      </c>
      <c r="G162" s="808">
        <f>G161*1800</f>
        <v>20278800</v>
      </c>
    </row>
  </sheetData>
  <mergeCells count="55">
    <mergeCell ref="B136:B137"/>
    <mergeCell ref="A102:A109"/>
    <mergeCell ref="B153:B154"/>
    <mergeCell ref="B155:C155"/>
    <mergeCell ref="I129:I157"/>
    <mergeCell ref="B144:B145"/>
    <mergeCell ref="B146:B147"/>
    <mergeCell ref="B148:B149"/>
    <mergeCell ref="B133:C133"/>
    <mergeCell ref="B150:C150"/>
    <mergeCell ref="A126:I126"/>
    <mergeCell ref="A127:A128"/>
    <mergeCell ref="B127:B128"/>
    <mergeCell ref="C127:C128"/>
    <mergeCell ref="D127:F127"/>
    <mergeCell ref="G127:I127"/>
    <mergeCell ref="A99:I99"/>
    <mergeCell ref="A100:A101"/>
    <mergeCell ref="B100:B101"/>
    <mergeCell ref="C100:C101"/>
    <mergeCell ref="D100:D101"/>
    <mergeCell ref="E100:G100"/>
    <mergeCell ref="H100:I100"/>
    <mergeCell ref="C48:C49"/>
    <mergeCell ref="B140:B141"/>
    <mergeCell ref="B142:B143"/>
    <mergeCell ref="A50:A61"/>
    <mergeCell ref="A48:A49"/>
    <mergeCell ref="B48:B49"/>
    <mergeCell ref="B129:B130"/>
    <mergeCell ref="B131:B132"/>
    <mergeCell ref="A111:A125"/>
    <mergeCell ref="A62:A70"/>
    <mergeCell ref="A71:A87"/>
    <mergeCell ref="A88:A94"/>
    <mergeCell ref="A134:A157"/>
    <mergeCell ref="B134:B135"/>
    <mergeCell ref="B151:B152"/>
    <mergeCell ref="B156:B157"/>
    <mergeCell ref="A129:A132"/>
    <mergeCell ref="B138:B139"/>
    <mergeCell ref="D48:D49"/>
    <mergeCell ref="E48:G48"/>
    <mergeCell ref="A2:I2"/>
    <mergeCell ref="A7:A36"/>
    <mergeCell ref="B7:B8"/>
    <mergeCell ref="B10:B36"/>
    <mergeCell ref="A47:I47"/>
    <mergeCell ref="A5:A6"/>
    <mergeCell ref="B5:B6"/>
    <mergeCell ref="C5:C6"/>
    <mergeCell ref="D5:D6"/>
    <mergeCell ref="E5:G5"/>
    <mergeCell ref="H5:I5"/>
    <mergeCell ref="H48:I48"/>
  </mergeCells>
  <printOptions horizontalCentered="1"/>
  <pageMargins left="0.5" right="0.25" top="0.25" bottom="0.25" header="0.3" footer="0.3"/>
  <pageSetup paperSize="9" scale="8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AA68"/>
  <sheetViews>
    <sheetView view="pageBreakPreview" zoomScaleSheetLayoutView="100" workbookViewId="0">
      <pane ySplit="10" topLeftCell="A14" activePane="bottomLeft" state="frozen"/>
      <selection pane="bottomLeft" activeCell="A25" sqref="A25:Y25"/>
    </sheetView>
  </sheetViews>
  <sheetFormatPr defaultRowHeight="12.75"/>
  <cols>
    <col min="1" max="1" width="4.7109375" style="92" customWidth="1"/>
    <col min="2" max="2" width="16.28515625" style="92" customWidth="1"/>
    <col min="3" max="3" width="9.7109375" style="1" customWidth="1"/>
    <col min="4" max="5" width="5.7109375" style="1" bestFit="1" customWidth="1"/>
    <col min="6" max="6" width="6.7109375" style="1" bestFit="1" customWidth="1"/>
    <col min="7" max="7" width="16" style="1" bestFit="1" customWidth="1"/>
    <col min="8" max="8" width="15" style="1" bestFit="1" customWidth="1"/>
    <col min="9" max="9" width="16" style="1" bestFit="1" customWidth="1"/>
    <col min="10" max="10" width="9.140625" style="1" bestFit="1" customWidth="1"/>
    <col min="11" max="11" width="9" style="1" bestFit="1" customWidth="1"/>
    <col min="12" max="12" width="8.140625" style="1" bestFit="1" customWidth="1"/>
    <col min="13" max="13" width="5.85546875" style="1" customWidth="1"/>
    <col min="14" max="14" width="6.5703125" style="1" customWidth="1"/>
    <col min="15" max="17" width="7.28515625" style="1" customWidth="1"/>
    <col min="18" max="18" width="7.42578125" style="1" customWidth="1"/>
    <col min="19" max="19" width="6.42578125" style="1" bestFit="1" customWidth="1"/>
    <col min="20" max="20" width="7.28515625" style="1" bestFit="1" customWidth="1"/>
    <col min="21" max="22" width="5.7109375" style="1" bestFit="1" customWidth="1"/>
    <col min="23" max="24" width="6.28515625" style="1" customWidth="1"/>
    <col min="25" max="25" width="17.7109375" style="28" bestFit="1" customWidth="1"/>
    <col min="26" max="26" width="15" style="1" bestFit="1" customWidth="1"/>
    <col min="27" max="27" width="14" style="1" customWidth="1"/>
    <col min="28" max="257" width="9.140625" style="1"/>
    <col min="258" max="258" width="4.7109375" style="1" customWidth="1"/>
    <col min="259" max="259" width="16.28515625" style="1" customWidth="1"/>
    <col min="260" max="260" width="9.7109375" style="1" customWidth="1"/>
    <col min="261" max="262" width="5.5703125" style="1" bestFit="1" customWidth="1"/>
    <col min="263" max="263" width="6.5703125" style="1" bestFit="1" customWidth="1"/>
    <col min="264" max="264" width="6.85546875" style="1" bestFit="1" customWidth="1"/>
    <col min="265" max="265" width="7.140625" style="1" bestFit="1" customWidth="1"/>
    <col min="266" max="266" width="7" style="1" bestFit="1" customWidth="1"/>
    <col min="267" max="267" width="9" style="1" bestFit="1" customWidth="1"/>
    <col min="268" max="268" width="8.85546875" style="1" bestFit="1" customWidth="1"/>
    <col min="269" max="269" width="8" style="1" bestFit="1" customWidth="1"/>
    <col min="270" max="271" width="5.85546875" style="1" customWidth="1"/>
    <col min="272" max="273" width="7.28515625" style="1" customWidth="1"/>
    <col min="274" max="274" width="7.42578125" style="1" customWidth="1"/>
    <col min="275" max="275" width="6.28515625" style="1" bestFit="1" customWidth="1"/>
    <col min="276" max="276" width="7.140625" style="1" bestFit="1" customWidth="1"/>
    <col min="277" max="278" width="5.5703125" style="1" bestFit="1" customWidth="1"/>
    <col min="279" max="280" width="6.28515625" style="1" customWidth="1"/>
    <col min="281" max="281" width="7.7109375" style="1" customWidth="1"/>
    <col min="282" max="513" width="9.140625" style="1"/>
    <col min="514" max="514" width="4.7109375" style="1" customWidth="1"/>
    <col min="515" max="515" width="16.28515625" style="1" customWidth="1"/>
    <col min="516" max="516" width="9.7109375" style="1" customWidth="1"/>
    <col min="517" max="518" width="5.5703125" style="1" bestFit="1" customWidth="1"/>
    <col min="519" max="519" width="6.5703125" style="1" bestFit="1" customWidth="1"/>
    <col min="520" max="520" width="6.85546875" style="1" bestFit="1" customWidth="1"/>
    <col min="521" max="521" width="7.140625" style="1" bestFit="1" customWidth="1"/>
    <col min="522" max="522" width="7" style="1" bestFit="1" customWidth="1"/>
    <col min="523" max="523" width="9" style="1" bestFit="1" customWidth="1"/>
    <col min="524" max="524" width="8.85546875" style="1" bestFit="1" customWidth="1"/>
    <col min="525" max="525" width="8" style="1" bestFit="1" customWidth="1"/>
    <col min="526" max="527" width="5.85546875" style="1" customWidth="1"/>
    <col min="528" max="529" width="7.28515625" style="1" customWidth="1"/>
    <col min="530" max="530" width="7.42578125" style="1" customWidth="1"/>
    <col min="531" max="531" width="6.28515625" style="1" bestFit="1" customWidth="1"/>
    <col min="532" max="532" width="7.140625" style="1" bestFit="1" customWidth="1"/>
    <col min="533" max="534" width="5.5703125" style="1" bestFit="1" customWidth="1"/>
    <col min="535" max="536" width="6.28515625" style="1" customWidth="1"/>
    <col min="537" max="537" width="7.7109375" style="1" customWidth="1"/>
    <col min="538" max="769" width="9.140625" style="1"/>
    <col min="770" max="770" width="4.7109375" style="1" customWidth="1"/>
    <col min="771" max="771" width="16.28515625" style="1" customWidth="1"/>
    <col min="772" max="772" width="9.7109375" style="1" customWidth="1"/>
    <col min="773" max="774" width="5.5703125" style="1" bestFit="1" customWidth="1"/>
    <col min="775" max="775" width="6.5703125" style="1" bestFit="1" customWidth="1"/>
    <col min="776" max="776" width="6.85546875" style="1" bestFit="1" customWidth="1"/>
    <col min="777" max="777" width="7.140625" style="1" bestFit="1" customWidth="1"/>
    <col min="778" max="778" width="7" style="1" bestFit="1" customWidth="1"/>
    <col min="779" max="779" width="9" style="1" bestFit="1" customWidth="1"/>
    <col min="780" max="780" width="8.85546875" style="1" bestFit="1" customWidth="1"/>
    <col min="781" max="781" width="8" style="1" bestFit="1" customWidth="1"/>
    <col min="782" max="783" width="5.85546875" style="1" customWidth="1"/>
    <col min="784" max="785" width="7.28515625" style="1" customWidth="1"/>
    <col min="786" max="786" width="7.42578125" style="1" customWidth="1"/>
    <col min="787" max="787" width="6.28515625" style="1" bestFit="1" customWidth="1"/>
    <col min="788" max="788" width="7.140625" style="1" bestFit="1" customWidth="1"/>
    <col min="789" max="790" width="5.5703125" style="1" bestFit="1" customWidth="1"/>
    <col min="791" max="792" width="6.28515625" style="1" customWidth="1"/>
    <col min="793" max="793" width="7.7109375" style="1" customWidth="1"/>
    <col min="794" max="1025" width="9.140625" style="1"/>
    <col min="1026" max="1026" width="4.7109375" style="1" customWidth="1"/>
    <col min="1027" max="1027" width="16.28515625" style="1" customWidth="1"/>
    <col min="1028" max="1028" width="9.7109375" style="1" customWidth="1"/>
    <col min="1029" max="1030" width="5.5703125" style="1" bestFit="1" customWidth="1"/>
    <col min="1031" max="1031" width="6.5703125" style="1" bestFit="1" customWidth="1"/>
    <col min="1032" max="1032" width="6.85546875" style="1" bestFit="1" customWidth="1"/>
    <col min="1033" max="1033" width="7.140625" style="1" bestFit="1" customWidth="1"/>
    <col min="1034" max="1034" width="7" style="1" bestFit="1" customWidth="1"/>
    <col min="1035" max="1035" width="9" style="1" bestFit="1" customWidth="1"/>
    <col min="1036" max="1036" width="8.85546875" style="1" bestFit="1" customWidth="1"/>
    <col min="1037" max="1037" width="8" style="1" bestFit="1" customWidth="1"/>
    <col min="1038" max="1039" width="5.85546875" style="1" customWidth="1"/>
    <col min="1040" max="1041" width="7.28515625" style="1" customWidth="1"/>
    <col min="1042" max="1042" width="7.42578125" style="1" customWidth="1"/>
    <col min="1043" max="1043" width="6.28515625" style="1" bestFit="1" customWidth="1"/>
    <col min="1044" max="1044" width="7.140625" style="1" bestFit="1" customWidth="1"/>
    <col min="1045" max="1046" width="5.5703125" style="1" bestFit="1" customWidth="1"/>
    <col min="1047" max="1048" width="6.28515625" style="1" customWidth="1"/>
    <col min="1049" max="1049" width="7.7109375" style="1" customWidth="1"/>
    <col min="1050" max="1281" width="9.140625" style="1"/>
    <col min="1282" max="1282" width="4.7109375" style="1" customWidth="1"/>
    <col min="1283" max="1283" width="16.28515625" style="1" customWidth="1"/>
    <col min="1284" max="1284" width="9.7109375" style="1" customWidth="1"/>
    <col min="1285" max="1286" width="5.5703125" style="1" bestFit="1" customWidth="1"/>
    <col min="1287" max="1287" width="6.5703125" style="1" bestFit="1" customWidth="1"/>
    <col min="1288" max="1288" width="6.85546875" style="1" bestFit="1" customWidth="1"/>
    <col min="1289" max="1289" width="7.140625" style="1" bestFit="1" customWidth="1"/>
    <col min="1290" max="1290" width="7" style="1" bestFit="1" customWidth="1"/>
    <col min="1291" max="1291" width="9" style="1" bestFit="1" customWidth="1"/>
    <col min="1292" max="1292" width="8.85546875" style="1" bestFit="1" customWidth="1"/>
    <col min="1293" max="1293" width="8" style="1" bestFit="1" customWidth="1"/>
    <col min="1294" max="1295" width="5.85546875" style="1" customWidth="1"/>
    <col min="1296" max="1297" width="7.28515625" style="1" customWidth="1"/>
    <col min="1298" max="1298" width="7.42578125" style="1" customWidth="1"/>
    <col min="1299" max="1299" width="6.28515625" style="1" bestFit="1" customWidth="1"/>
    <col min="1300" max="1300" width="7.140625" style="1" bestFit="1" customWidth="1"/>
    <col min="1301" max="1302" width="5.5703125" style="1" bestFit="1" customWidth="1"/>
    <col min="1303" max="1304" width="6.28515625" style="1" customWidth="1"/>
    <col min="1305" max="1305" width="7.7109375" style="1" customWidth="1"/>
    <col min="1306" max="1537" width="9.140625" style="1"/>
    <col min="1538" max="1538" width="4.7109375" style="1" customWidth="1"/>
    <col min="1539" max="1539" width="16.28515625" style="1" customWidth="1"/>
    <col min="1540" max="1540" width="9.7109375" style="1" customWidth="1"/>
    <col min="1541" max="1542" width="5.5703125" style="1" bestFit="1" customWidth="1"/>
    <col min="1543" max="1543" width="6.5703125" style="1" bestFit="1" customWidth="1"/>
    <col min="1544" max="1544" width="6.85546875" style="1" bestFit="1" customWidth="1"/>
    <col min="1545" max="1545" width="7.140625" style="1" bestFit="1" customWidth="1"/>
    <col min="1546" max="1546" width="7" style="1" bestFit="1" customWidth="1"/>
    <col min="1547" max="1547" width="9" style="1" bestFit="1" customWidth="1"/>
    <col min="1548" max="1548" width="8.85546875" style="1" bestFit="1" customWidth="1"/>
    <col min="1549" max="1549" width="8" style="1" bestFit="1" customWidth="1"/>
    <col min="1550" max="1551" width="5.85546875" style="1" customWidth="1"/>
    <col min="1552" max="1553" width="7.28515625" style="1" customWidth="1"/>
    <col min="1554" max="1554" width="7.42578125" style="1" customWidth="1"/>
    <col min="1555" max="1555" width="6.28515625" style="1" bestFit="1" customWidth="1"/>
    <col min="1556" max="1556" width="7.140625" style="1" bestFit="1" customWidth="1"/>
    <col min="1557" max="1558" width="5.5703125" style="1" bestFit="1" customWidth="1"/>
    <col min="1559" max="1560" width="6.28515625" style="1" customWidth="1"/>
    <col min="1561" max="1561" width="7.7109375" style="1" customWidth="1"/>
    <col min="1562" max="1793" width="9.140625" style="1"/>
    <col min="1794" max="1794" width="4.7109375" style="1" customWidth="1"/>
    <col min="1795" max="1795" width="16.28515625" style="1" customWidth="1"/>
    <col min="1796" max="1796" width="9.7109375" style="1" customWidth="1"/>
    <col min="1797" max="1798" width="5.5703125" style="1" bestFit="1" customWidth="1"/>
    <col min="1799" max="1799" width="6.5703125" style="1" bestFit="1" customWidth="1"/>
    <col min="1800" max="1800" width="6.85546875" style="1" bestFit="1" customWidth="1"/>
    <col min="1801" max="1801" width="7.140625" style="1" bestFit="1" customWidth="1"/>
    <col min="1802" max="1802" width="7" style="1" bestFit="1" customWidth="1"/>
    <col min="1803" max="1803" width="9" style="1" bestFit="1" customWidth="1"/>
    <col min="1804" max="1804" width="8.85546875" style="1" bestFit="1" customWidth="1"/>
    <col min="1805" max="1805" width="8" style="1" bestFit="1" customWidth="1"/>
    <col min="1806" max="1807" width="5.85546875" style="1" customWidth="1"/>
    <col min="1808" max="1809" width="7.28515625" style="1" customWidth="1"/>
    <col min="1810" max="1810" width="7.42578125" style="1" customWidth="1"/>
    <col min="1811" max="1811" width="6.28515625" style="1" bestFit="1" customWidth="1"/>
    <col min="1812" max="1812" width="7.140625" style="1" bestFit="1" customWidth="1"/>
    <col min="1813" max="1814" width="5.5703125" style="1" bestFit="1" customWidth="1"/>
    <col min="1815" max="1816" width="6.28515625" style="1" customWidth="1"/>
    <col min="1817" max="1817" width="7.7109375" style="1" customWidth="1"/>
    <col min="1818" max="2049" width="9.140625" style="1"/>
    <col min="2050" max="2050" width="4.7109375" style="1" customWidth="1"/>
    <col min="2051" max="2051" width="16.28515625" style="1" customWidth="1"/>
    <col min="2052" max="2052" width="9.7109375" style="1" customWidth="1"/>
    <col min="2053" max="2054" width="5.5703125" style="1" bestFit="1" customWidth="1"/>
    <col min="2055" max="2055" width="6.5703125" style="1" bestFit="1" customWidth="1"/>
    <col min="2056" max="2056" width="6.85546875" style="1" bestFit="1" customWidth="1"/>
    <col min="2057" max="2057" width="7.140625" style="1" bestFit="1" customWidth="1"/>
    <col min="2058" max="2058" width="7" style="1" bestFit="1" customWidth="1"/>
    <col min="2059" max="2059" width="9" style="1" bestFit="1" customWidth="1"/>
    <col min="2060" max="2060" width="8.85546875" style="1" bestFit="1" customWidth="1"/>
    <col min="2061" max="2061" width="8" style="1" bestFit="1" customWidth="1"/>
    <col min="2062" max="2063" width="5.85546875" style="1" customWidth="1"/>
    <col min="2064" max="2065" width="7.28515625" style="1" customWidth="1"/>
    <col min="2066" max="2066" width="7.42578125" style="1" customWidth="1"/>
    <col min="2067" max="2067" width="6.28515625" style="1" bestFit="1" customWidth="1"/>
    <col min="2068" max="2068" width="7.140625" style="1" bestFit="1" customWidth="1"/>
    <col min="2069" max="2070" width="5.5703125" style="1" bestFit="1" customWidth="1"/>
    <col min="2071" max="2072" width="6.28515625" style="1" customWidth="1"/>
    <col min="2073" max="2073" width="7.7109375" style="1" customWidth="1"/>
    <col min="2074" max="2305" width="9.140625" style="1"/>
    <col min="2306" max="2306" width="4.7109375" style="1" customWidth="1"/>
    <col min="2307" max="2307" width="16.28515625" style="1" customWidth="1"/>
    <col min="2308" max="2308" width="9.7109375" style="1" customWidth="1"/>
    <col min="2309" max="2310" width="5.5703125" style="1" bestFit="1" customWidth="1"/>
    <col min="2311" max="2311" width="6.5703125" style="1" bestFit="1" customWidth="1"/>
    <col min="2312" max="2312" width="6.85546875" style="1" bestFit="1" customWidth="1"/>
    <col min="2313" max="2313" width="7.140625" style="1" bestFit="1" customWidth="1"/>
    <col min="2314" max="2314" width="7" style="1" bestFit="1" customWidth="1"/>
    <col min="2315" max="2315" width="9" style="1" bestFit="1" customWidth="1"/>
    <col min="2316" max="2316" width="8.85546875" style="1" bestFit="1" customWidth="1"/>
    <col min="2317" max="2317" width="8" style="1" bestFit="1" customWidth="1"/>
    <col min="2318" max="2319" width="5.85546875" style="1" customWidth="1"/>
    <col min="2320" max="2321" width="7.28515625" style="1" customWidth="1"/>
    <col min="2322" max="2322" width="7.42578125" style="1" customWidth="1"/>
    <col min="2323" max="2323" width="6.28515625" style="1" bestFit="1" customWidth="1"/>
    <col min="2324" max="2324" width="7.140625" style="1" bestFit="1" customWidth="1"/>
    <col min="2325" max="2326" width="5.5703125" style="1" bestFit="1" customWidth="1"/>
    <col min="2327" max="2328" width="6.28515625" style="1" customWidth="1"/>
    <col min="2329" max="2329" width="7.7109375" style="1" customWidth="1"/>
    <col min="2330" max="2561" width="9.140625" style="1"/>
    <col min="2562" max="2562" width="4.7109375" style="1" customWidth="1"/>
    <col min="2563" max="2563" width="16.28515625" style="1" customWidth="1"/>
    <col min="2564" max="2564" width="9.7109375" style="1" customWidth="1"/>
    <col min="2565" max="2566" width="5.5703125" style="1" bestFit="1" customWidth="1"/>
    <col min="2567" max="2567" width="6.5703125" style="1" bestFit="1" customWidth="1"/>
    <col min="2568" max="2568" width="6.85546875" style="1" bestFit="1" customWidth="1"/>
    <col min="2569" max="2569" width="7.140625" style="1" bestFit="1" customWidth="1"/>
    <col min="2570" max="2570" width="7" style="1" bestFit="1" customWidth="1"/>
    <col min="2571" max="2571" width="9" style="1" bestFit="1" customWidth="1"/>
    <col min="2572" max="2572" width="8.85546875" style="1" bestFit="1" customWidth="1"/>
    <col min="2573" max="2573" width="8" style="1" bestFit="1" customWidth="1"/>
    <col min="2574" max="2575" width="5.85546875" style="1" customWidth="1"/>
    <col min="2576" max="2577" width="7.28515625" style="1" customWidth="1"/>
    <col min="2578" max="2578" width="7.42578125" style="1" customWidth="1"/>
    <col min="2579" max="2579" width="6.28515625" style="1" bestFit="1" customWidth="1"/>
    <col min="2580" max="2580" width="7.140625" style="1" bestFit="1" customWidth="1"/>
    <col min="2581" max="2582" width="5.5703125" style="1" bestFit="1" customWidth="1"/>
    <col min="2583" max="2584" width="6.28515625" style="1" customWidth="1"/>
    <col min="2585" max="2585" width="7.7109375" style="1" customWidth="1"/>
    <col min="2586" max="2817" width="9.140625" style="1"/>
    <col min="2818" max="2818" width="4.7109375" style="1" customWidth="1"/>
    <col min="2819" max="2819" width="16.28515625" style="1" customWidth="1"/>
    <col min="2820" max="2820" width="9.7109375" style="1" customWidth="1"/>
    <col min="2821" max="2822" width="5.5703125" style="1" bestFit="1" customWidth="1"/>
    <col min="2823" max="2823" width="6.5703125" style="1" bestFit="1" customWidth="1"/>
    <col min="2824" max="2824" width="6.85546875" style="1" bestFit="1" customWidth="1"/>
    <col min="2825" max="2825" width="7.140625" style="1" bestFit="1" customWidth="1"/>
    <col min="2826" max="2826" width="7" style="1" bestFit="1" customWidth="1"/>
    <col min="2827" max="2827" width="9" style="1" bestFit="1" customWidth="1"/>
    <col min="2828" max="2828" width="8.85546875" style="1" bestFit="1" customWidth="1"/>
    <col min="2829" max="2829" width="8" style="1" bestFit="1" customWidth="1"/>
    <col min="2830" max="2831" width="5.85546875" style="1" customWidth="1"/>
    <col min="2832" max="2833" width="7.28515625" style="1" customWidth="1"/>
    <col min="2834" max="2834" width="7.42578125" style="1" customWidth="1"/>
    <col min="2835" max="2835" width="6.28515625" style="1" bestFit="1" customWidth="1"/>
    <col min="2836" max="2836" width="7.140625" style="1" bestFit="1" customWidth="1"/>
    <col min="2837" max="2838" width="5.5703125" style="1" bestFit="1" customWidth="1"/>
    <col min="2839" max="2840" width="6.28515625" style="1" customWidth="1"/>
    <col min="2841" max="2841" width="7.7109375" style="1" customWidth="1"/>
    <col min="2842" max="3073" width="9.140625" style="1"/>
    <col min="3074" max="3074" width="4.7109375" style="1" customWidth="1"/>
    <col min="3075" max="3075" width="16.28515625" style="1" customWidth="1"/>
    <col min="3076" max="3076" width="9.7109375" style="1" customWidth="1"/>
    <col min="3077" max="3078" width="5.5703125" style="1" bestFit="1" customWidth="1"/>
    <col min="3079" max="3079" width="6.5703125" style="1" bestFit="1" customWidth="1"/>
    <col min="3080" max="3080" width="6.85546875" style="1" bestFit="1" customWidth="1"/>
    <col min="3081" max="3081" width="7.140625" style="1" bestFit="1" customWidth="1"/>
    <col min="3082" max="3082" width="7" style="1" bestFit="1" customWidth="1"/>
    <col min="3083" max="3083" width="9" style="1" bestFit="1" customWidth="1"/>
    <col min="3084" max="3084" width="8.85546875" style="1" bestFit="1" customWidth="1"/>
    <col min="3085" max="3085" width="8" style="1" bestFit="1" customWidth="1"/>
    <col min="3086" max="3087" width="5.85546875" style="1" customWidth="1"/>
    <col min="3088" max="3089" width="7.28515625" style="1" customWidth="1"/>
    <col min="3090" max="3090" width="7.42578125" style="1" customWidth="1"/>
    <col min="3091" max="3091" width="6.28515625" style="1" bestFit="1" customWidth="1"/>
    <col min="3092" max="3092" width="7.140625" style="1" bestFit="1" customWidth="1"/>
    <col min="3093" max="3094" width="5.5703125" style="1" bestFit="1" customWidth="1"/>
    <col min="3095" max="3096" width="6.28515625" style="1" customWidth="1"/>
    <col min="3097" max="3097" width="7.7109375" style="1" customWidth="1"/>
    <col min="3098" max="3329" width="9.140625" style="1"/>
    <col min="3330" max="3330" width="4.7109375" style="1" customWidth="1"/>
    <col min="3331" max="3331" width="16.28515625" style="1" customWidth="1"/>
    <col min="3332" max="3332" width="9.7109375" style="1" customWidth="1"/>
    <col min="3333" max="3334" width="5.5703125" style="1" bestFit="1" customWidth="1"/>
    <col min="3335" max="3335" width="6.5703125" style="1" bestFit="1" customWidth="1"/>
    <col min="3336" max="3336" width="6.85546875" style="1" bestFit="1" customWidth="1"/>
    <col min="3337" max="3337" width="7.140625" style="1" bestFit="1" customWidth="1"/>
    <col min="3338" max="3338" width="7" style="1" bestFit="1" customWidth="1"/>
    <col min="3339" max="3339" width="9" style="1" bestFit="1" customWidth="1"/>
    <col min="3340" max="3340" width="8.85546875" style="1" bestFit="1" customWidth="1"/>
    <col min="3341" max="3341" width="8" style="1" bestFit="1" customWidth="1"/>
    <col min="3342" max="3343" width="5.85546875" style="1" customWidth="1"/>
    <col min="3344" max="3345" width="7.28515625" style="1" customWidth="1"/>
    <col min="3346" max="3346" width="7.42578125" style="1" customWidth="1"/>
    <col min="3347" max="3347" width="6.28515625" style="1" bestFit="1" customWidth="1"/>
    <col min="3348" max="3348" width="7.140625" style="1" bestFit="1" customWidth="1"/>
    <col min="3349" max="3350" width="5.5703125" style="1" bestFit="1" customWidth="1"/>
    <col min="3351" max="3352" width="6.28515625" style="1" customWidth="1"/>
    <col min="3353" max="3353" width="7.7109375" style="1" customWidth="1"/>
    <col min="3354" max="3585" width="9.140625" style="1"/>
    <col min="3586" max="3586" width="4.7109375" style="1" customWidth="1"/>
    <col min="3587" max="3587" width="16.28515625" style="1" customWidth="1"/>
    <col min="3588" max="3588" width="9.7109375" style="1" customWidth="1"/>
    <col min="3589" max="3590" width="5.5703125" style="1" bestFit="1" customWidth="1"/>
    <col min="3591" max="3591" width="6.5703125" style="1" bestFit="1" customWidth="1"/>
    <col min="3592" max="3592" width="6.85546875" style="1" bestFit="1" customWidth="1"/>
    <col min="3593" max="3593" width="7.140625" style="1" bestFit="1" customWidth="1"/>
    <col min="3594" max="3594" width="7" style="1" bestFit="1" customWidth="1"/>
    <col min="3595" max="3595" width="9" style="1" bestFit="1" customWidth="1"/>
    <col min="3596" max="3596" width="8.85546875" style="1" bestFit="1" customWidth="1"/>
    <col min="3597" max="3597" width="8" style="1" bestFit="1" customWidth="1"/>
    <col min="3598" max="3599" width="5.85546875" style="1" customWidth="1"/>
    <col min="3600" max="3601" width="7.28515625" style="1" customWidth="1"/>
    <col min="3602" max="3602" width="7.42578125" style="1" customWidth="1"/>
    <col min="3603" max="3603" width="6.28515625" style="1" bestFit="1" customWidth="1"/>
    <col min="3604" max="3604" width="7.140625" style="1" bestFit="1" customWidth="1"/>
    <col min="3605" max="3606" width="5.5703125" style="1" bestFit="1" customWidth="1"/>
    <col min="3607" max="3608" width="6.28515625" style="1" customWidth="1"/>
    <col min="3609" max="3609" width="7.7109375" style="1" customWidth="1"/>
    <col min="3610" max="3841" width="9.140625" style="1"/>
    <col min="3842" max="3842" width="4.7109375" style="1" customWidth="1"/>
    <col min="3843" max="3843" width="16.28515625" style="1" customWidth="1"/>
    <col min="3844" max="3844" width="9.7109375" style="1" customWidth="1"/>
    <col min="3845" max="3846" width="5.5703125" style="1" bestFit="1" customWidth="1"/>
    <col min="3847" max="3847" width="6.5703125" style="1" bestFit="1" customWidth="1"/>
    <col min="3848" max="3848" width="6.85546875" style="1" bestFit="1" customWidth="1"/>
    <col min="3849" max="3849" width="7.140625" style="1" bestFit="1" customWidth="1"/>
    <col min="3850" max="3850" width="7" style="1" bestFit="1" customWidth="1"/>
    <col min="3851" max="3851" width="9" style="1" bestFit="1" customWidth="1"/>
    <col min="3852" max="3852" width="8.85546875" style="1" bestFit="1" customWidth="1"/>
    <col min="3853" max="3853" width="8" style="1" bestFit="1" customWidth="1"/>
    <col min="3854" max="3855" width="5.85546875" style="1" customWidth="1"/>
    <col min="3856" max="3857" width="7.28515625" style="1" customWidth="1"/>
    <col min="3858" max="3858" width="7.42578125" style="1" customWidth="1"/>
    <col min="3859" max="3859" width="6.28515625" style="1" bestFit="1" customWidth="1"/>
    <col min="3860" max="3860" width="7.140625" style="1" bestFit="1" customWidth="1"/>
    <col min="3861" max="3862" width="5.5703125" style="1" bestFit="1" customWidth="1"/>
    <col min="3863" max="3864" width="6.28515625" style="1" customWidth="1"/>
    <col min="3865" max="3865" width="7.7109375" style="1" customWidth="1"/>
    <col min="3866" max="4097" width="9.140625" style="1"/>
    <col min="4098" max="4098" width="4.7109375" style="1" customWidth="1"/>
    <col min="4099" max="4099" width="16.28515625" style="1" customWidth="1"/>
    <col min="4100" max="4100" width="9.7109375" style="1" customWidth="1"/>
    <col min="4101" max="4102" width="5.5703125" style="1" bestFit="1" customWidth="1"/>
    <col min="4103" max="4103" width="6.5703125" style="1" bestFit="1" customWidth="1"/>
    <col min="4104" max="4104" width="6.85546875" style="1" bestFit="1" customWidth="1"/>
    <col min="4105" max="4105" width="7.140625" style="1" bestFit="1" customWidth="1"/>
    <col min="4106" max="4106" width="7" style="1" bestFit="1" customWidth="1"/>
    <col min="4107" max="4107" width="9" style="1" bestFit="1" customWidth="1"/>
    <col min="4108" max="4108" width="8.85546875" style="1" bestFit="1" customWidth="1"/>
    <col min="4109" max="4109" width="8" style="1" bestFit="1" customWidth="1"/>
    <col min="4110" max="4111" width="5.85546875" style="1" customWidth="1"/>
    <col min="4112" max="4113" width="7.28515625" style="1" customWidth="1"/>
    <col min="4114" max="4114" width="7.42578125" style="1" customWidth="1"/>
    <col min="4115" max="4115" width="6.28515625" style="1" bestFit="1" customWidth="1"/>
    <col min="4116" max="4116" width="7.140625" style="1" bestFit="1" customWidth="1"/>
    <col min="4117" max="4118" width="5.5703125" style="1" bestFit="1" customWidth="1"/>
    <col min="4119" max="4120" width="6.28515625" style="1" customWidth="1"/>
    <col min="4121" max="4121" width="7.7109375" style="1" customWidth="1"/>
    <col min="4122" max="4353" width="9.140625" style="1"/>
    <col min="4354" max="4354" width="4.7109375" style="1" customWidth="1"/>
    <col min="4355" max="4355" width="16.28515625" style="1" customWidth="1"/>
    <col min="4356" max="4356" width="9.7109375" style="1" customWidth="1"/>
    <col min="4357" max="4358" width="5.5703125" style="1" bestFit="1" customWidth="1"/>
    <col min="4359" max="4359" width="6.5703125" style="1" bestFit="1" customWidth="1"/>
    <col min="4360" max="4360" width="6.85546875" style="1" bestFit="1" customWidth="1"/>
    <col min="4361" max="4361" width="7.140625" style="1" bestFit="1" customWidth="1"/>
    <col min="4362" max="4362" width="7" style="1" bestFit="1" customWidth="1"/>
    <col min="4363" max="4363" width="9" style="1" bestFit="1" customWidth="1"/>
    <col min="4364" max="4364" width="8.85546875" style="1" bestFit="1" customWidth="1"/>
    <col min="4365" max="4365" width="8" style="1" bestFit="1" customWidth="1"/>
    <col min="4366" max="4367" width="5.85546875" style="1" customWidth="1"/>
    <col min="4368" max="4369" width="7.28515625" style="1" customWidth="1"/>
    <col min="4370" max="4370" width="7.42578125" style="1" customWidth="1"/>
    <col min="4371" max="4371" width="6.28515625" style="1" bestFit="1" customWidth="1"/>
    <col min="4372" max="4372" width="7.140625" style="1" bestFit="1" customWidth="1"/>
    <col min="4373" max="4374" width="5.5703125" style="1" bestFit="1" customWidth="1"/>
    <col min="4375" max="4376" width="6.28515625" style="1" customWidth="1"/>
    <col min="4377" max="4377" width="7.7109375" style="1" customWidth="1"/>
    <col min="4378" max="4609" width="9.140625" style="1"/>
    <col min="4610" max="4610" width="4.7109375" style="1" customWidth="1"/>
    <col min="4611" max="4611" width="16.28515625" style="1" customWidth="1"/>
    <col min="4612" max="4612" width="9.7109375" style="1" customWidth="1"/>
    <col min="4613" max="4614" width="5.5703125" style="1" bestFit="1" customWidth="1"/>
    <col min="4615" max="4615" width="6.5703125" style="1" bestFit="1" customWidth="1"/>
    <col min="4616" max="4616" width="6.85546875" style="1" bestFit="1" customWidth="1"/>
    <col min="4617" max="4617" width="7.140625" style="1" bestFit="1" customWidth="1"/>
    <col min="4618" max="4618" width="7" style="1" bestFit="1" customWidth="1"/>
    <col min="4619" max="4619" width="9" style="1" bestFit="1" customWidth="1"/>
    <col min="4620" max="4620" width="8.85546875" style="1" bestFit="1" customWidth="1"/>
    <col min="4621" max="4621" width="8" style="1" bestFit="1" customWidth="1"/>
    <col min="4622" max="4623" width="5.85546875" style="1" customWidth="1"/>
    <col min="4624" max="4625" width="7.28515625" style="1" customWidth="1"/>
    <col min="4626" max="4626" width="7.42578125" style="1" customWidth="1"/>
    <col min="4627" max="4627" width="6.28515625" style="1" bestFit="1" customWidth="1"/>
    <col min="4628" max="4628" width="7.140625" style="1" bestFit="1" customWidth="1"/>
    <col min="4629" max="4630" width="5.5703125" style="1" bestFit="1" customWidth="1"/>
    <col min="4631" max="4632" width="6.28515625" style="1" customWidth="1"/>
    <col min="4633" max="4633" width="7.7109375" style="1" customWidth="1"/>
    <col min="4634" max="4865" width="9.140625" style="1"/>
    <col min="4866" max="4866" width="4.7109375" style="1" customWidth="1"/>
    <col min="4867" max="4867" width="16.28515625" style="1" customWidth="1"/>
    <col min="4868" max="4868" width="9.7109375" style="1" customWidth="1"/>
    <col min="4869" max="4870" width="5.5703125" style="1" bestFit="1" customWidth="1"/>
    <col min="4871" max="4871" width="6.5703125" style="1" bestFit="1" customWidth="1"/>
    <col min="4872" max="4872" width="6.85546875" style="1" bestFit="1" customWidth="1"/>
    <col min="4873" max="4873" width="7.140625" style="1" bestFit="1" customWidth="1"/>
    <col min="4874" max="4874" width="7" style="1" bestFit="1" customWidth="1"/>
    <col min="4875" max="4875" width="9" style="1" bestFit="1" customWidth="1"/>
    <col min="4876" max="4876" width="8.85546875" style="1" bestFit="1" customWidth="1"/>
    <col min="4877" max="4877" width="8" style="1" bestFit="1" customWidth="1"/>
    <col min="4878" max="4879" width="5.85546875" style="1" customWidth="1"/>
    <col min="4880" max="4881" width="7.28515625" style="1" customWidth="1"/>
    <col min="4882" max="4882" width="7.42578125" style="1" customWidth="1"/>
    <col min="4883" max="4883" width="6.28515625" style="1" bestFit="1" customWidth="1"/>
    <col min="4884" max="4884" width="7.140625" style="1" bestFit="1" customWidth="1"/>
    <col min="4885" max="4886" width="5.5703125" style="1" bestFit="1" customWidth="1"/>
    <col min="4887" max="4888" width="6.28515625" style="1" customWidth="1"/>
    <col min="4889" max="4889" width="7.7109375" style="1" customWidth="1"/>
    <col min="4890" max="5121" width="9.140625" style="1"/>
    <col min="5122" max="5122" width="4.7109375" style="1" customWidth="1"/>
    <col min="5123" max="5123" width="16.28515625" style="1" customWidth="1"/>
    <col min="5124" max="5124" width="9.7109375" style="1" customWidth="1"/>
    <col min="5125" max="5126" width="5.5703125" style="1" bestFit="1" customWidth="1"/>
    <col min="5127" max="5127" width="6.5703125" style="1" bestFit="1" customWidth="1"/>
    <col min="5128" max="5128" width="6.85546875" style="1" bestFit="1" customWidth="1"/>
    <col min="5129" max="5129" width="7.140625" style="1" bestFit="1" customWidth="1"/>
    <col min="5130" max="5130" width="7" style="1" bestFit="1" customWidth="1"/>
    <col min="5131" max="5131" width="9" style="1" bestFit="1" customWidth="1"/>
    <col min="5132" max="5132" width="8.85546875" style="1" bestFit="1" customWidth="1"/>
    <col min="5133" max="5133" width="8" style="1" bestFit="1" customWidth="1"/>
    <col min="5134" max="5135" width="5.85546875" style="1" customWidth="1"/>
    <col min="5136" max="5137" width="7.28515625" style="1" customWidth="1"/>
    <col min="5138" max="5138" width="7.42578125" style="1" customWidth="1"/>
    <col min="5139" max="5139" width="6.28515625" style="1" bestFit="1" customWidth="1"/>
    <col min="5140" max="5140" width="7.140625" style="1" bestFit="1" customWidth="1"/>
    <col min="5141" max="5142" width="5.5703125" style="1" bestFit="1" customWidth="1"/>
    <col min="5143" max="5144" width="6.28515625" style="1" customWidth="1"/>
    <col min="5145" max="5145" width="7.7109375" style="1" customWidth="1"/>
    <col min="5146" max="5377" width="9.140625" style="1"/>
    <col min="5378" max="5378" width="4.7109375" style="1" customWidth="1"/>
    <col min="5379" max="5379" width="16.28515625" style="1" customWidth="1"/>
    <col min="5380" max="5380" width="9.7109375" style="1" customWidth="1"/>
    <col min="5381" max="5382" width="5.5703125" style="1" bestFit="1" customWidth="1"/>
    <col min="5383" max="5383" width="6.5703125" style="1" bestFit="1" customWidth="1"/>
    <col min="5384" max="5384" width="6.85546875" style="1" bestFit="1" customWidth="1"/>
    <col min="5385" max="5385" width="7.140625" style="1" bestFit="1" customWidth="1"/>
    <col min="5386" max="5386" width="7" style="1" bestFit="1" customWidth="1"/>
    <col min="5387" max="5387" width="9" style="1" bestFit="1" customWidth="1"/>
    <col min="5388" max="5388" width="8.85546875" style="1" bestFit="1" customWidth="1"/>
    <col min="5389" max="5389" width="8" style="1" bestFit="1" customWidth="1"/>
    <col min="5390" max="5391" width="5.85546875" style="1" customWidth="1"/>
    <col min="5392" max="5393" width="7.28515625" style="1" customWidth="1"/>
    <col min="5394" max="5394" width="7.42578125" style="1" customWidth="1"/>
    <col min="5395" max="5395" width="6.28515625" style="1" bestFit="1" customWidth="1"/>
    <col min="5396" max="5396" width="7.140625" style="1" bestFit="1" customWidth="1"/>
    <col min="5397" max="5398" width="5.5703125" style="1" bestFit="1" customWidth="1"/>
    <col min="5399" max="5400" width="6.28515625" style="1" customWidth="1"/>
    <col min="5401" max="5401" width="7.7109375" style="1" customWidth="1"/>
    <col min="5402" max="5633" width="9.140625" style="1"/>
    <col min="5634" max="5634" width="4.7109375" style="1" customWidth="1"/>
    <col min="5635" max="5635" width="16.28515625" style="1" customWidth="1"/>
    <col min="5636" max="5636" width="9.7109375" style="1" customWidth="1"/>
    <col min="5637" max="5638" width="5.5703125" style="1" bestFit="1" customWidth="1"/>
    <col min="5639" max="5639" width="6.5703125" style="1" bestFit="1" customWidth="1"/>
    <col min="5640" max="5640" width="6.85546875" style="1" bestFit="1" customWidth="1"/>
    <col min="5641" max="5641" width="7.140625" style="1" bestFit="1" customWidth="1"/>
    <col min="5642" max="5642" width="7" style="1" bestFit="1" customWidth="1"/>
    <col min="5643" max="5643" width="9" style="1" bestFit="1" customWidth="1"/>
    <col min="5644" max="5644" width="8.85546875" style="1" bestFit="1" customWidth="1"/>
    <col min="5645" max="5645" width="8" style="1" bestFit="1" customWidth="1"/>
    <col min="5646" max="5647" width="5.85546875" style="1" customWidth="1"/>
    <col min="5648" max="5649" width="7.28515625" style="1" customWidth="1"/>
    <col min="5650" max="5650" width="7.42578125" style="1" customWidth="1"/>
    <col min="5651" max="5651" width="6.28515625" style="1" bestFit="1" customWidth="1"/>
    <col min="5652" max="5652" width="7.140625" style="1" bestFit="1" customWidth="1"/>
    <col min="5653" max="5654" width="5.5703125" style="1" bestFit="1" customWidth="1"/>
    <col min="5655" max="5656" width="6.28515625" style="1" customWidth="1"/>
    <col min="5657" max="5657" width="7.7109375" style="1" customWidth="1"/>
    <col min="5658" max="5889" width="9.140625" style="1"/>
    <col min="5890" max="5890" width="4.7109375" style="1" customWidth="1"/>
    <col min="5891" max="5891" width="16.28515625" style="1" customWidth="1"/>
    <col min="5892" max="5892" width="9.7109375" style="1" customWidth="1"/>
    <col min="5893" max="5894" width="5.5703125" style="1" bestFit="1" customWidth="1"/>
    <col min="5895" max="5895" width="6.5703125" style="1" bestFit="1" customWidth="1"/>
    <col min="5896" max="5896" width="6.85546875" style="1" bestFit="1" customWidth="1"/>
    <col min="5897" max="5897" width="7.140625" style="1" bestFit="1" customWidth="1"/>
    <col min="5898" max="5898" width="7" style="1" bestFit="1" customWidth="1"/>
    <col min="5899" max="5899" width="9" style="1" bestFit="1" customWidth="1"/>
    <col min="5900" max="5900" width="8.85546875" style="1" bestFit="1" customWidth="1"/>
    <col min="5901" max="5901" width="8" style="1" bestFit="1" customWidth="1"/>
    <col min="5902" max="5903" width="5.85546875" style="1" customWidth="1"/>
    <col min="5904" max="5905" width="7.28515625" style="1" customWidth="1"/>
    <col min="5906" max="5906" width="7.42578125" style="1" customWidth="1"/>
    <col min="5907" max="5907" width="6.28515625" style="1" bestFit="1" customWidth="1"/>
    <col min="5908" max="5908" width="7.140625" style="1" bestFit="1" customWidth="1"/>
    <col min="5909" max="5910" width="5.5703125" style="1" bestFit="1" customWidth="1"/>
    <col min="5911" max="5912" width="6.28515625" style="1" customWidth="1"/>
    <col min="5913" max="5913" width="7.7109375" style="1" customWidth="1"/>
    <col min="5914" max="6145" width="9.140625" style="1"/>
    <col min="6146" max="6146" width="4.7109375" style="1" customWidth="1"/>
    <col min="6147" max="6147" width="16.28515625" style="1" customWidth="1"/>
    <col min="6148" max="6148" width="9.7109375" style="1" customWidth="1"/>
    <col min="6149" max="6150" width="5.5703125" style="1" bestFit="1" customWidth="1"/>
    <col min="6151" max="6151" width="6.5703125" style="1" bestFit="1" customWidth="1"/>
    <col min="6152" max="6152" width="6.85546875" style="1" bestFit="1" customWidth="1"/>
    <col min="6153" max="6153" width="7.140625" style="1" bestFit="1" customWidth="1"/>
    <col min="6154" max="6154" width="7" style="1" bestFit="1" customWidth="1"/>
    <col min="6155" max="6155" width="9" style="1" bestFit="1" customWidth="1"/>
    <col min="6156" max="6156" width="8.85546875" style="1" bestFit="1" customWidth="1"/>
    <col min="6157" max="6157" width="8" style="1" bestFit="1" customWidth="1"/>
    <col min="6158" max="6159" width="5.85546875" style="1" customWidth="1"/>
    <col min="6160" max="6161" width="7.28515625" style="1" customWidth="1"/>
    <col min="6162" max="6162" width="7.42578125" style="1" customWidth="1"/>
    <col min="6163" max="6163" width="6.28515625" style="1" bestFit="1" customWidth="1"/>
    <col min="6164" max="6164" width="7.140625" style="1" bestFit="1" customWidth="1"/>
    <col min="6165" max="6166" width="5.5703125" style="1" bestFit="1" customWidth="1"/>
    <col min="6167" max="6168" width="6.28515625" style="1" customWidth="1"/>
    <col min="6169" max="6169" width="7.7109375" style="1" customWidth="1"/>
    <col min="6170" max="6401" width="9.140625" style="1"/>
    <col min="6402" max="6402" width="4.7109375" style="1" customWidth="1"/>
    <col min="6403" max="6403" width="16.28515625" style="1" customWidth="1"/>
    <col min="6404" max="6404" width="9.7109375" style="1" customWidth="1"/>
    <col min="6405" max="6406" width="5.5703125" style="1" bestFit="1" customWidth="1"/>
    <col min="6407" max="6407" width="6.5703125" style="1" bestFit="1" customWidth="1"/>
    <col min="6408" max="6408" width="6.85546875" style="1" bestFit="1" customWidth="1"/>
    <col min="6409" max="6409" width="7.140625" style="1" bestFit="1" customWidth="1"/>
    <col min="6410" max="6410" width="7" style="1" bestFit="1" customWidth="1"/>
    <col min="6411" max="6411" width="9" style="1" bestFit="1" customWidth="1"/>
    <col min="6412" max="6412" width="8.85546875" style="1" bestFit="1" customWidth="1"/>
    <col min="6413" max="6413" width="8" style="1" bestFit="1" customWidth="1"/>
    <col min="6414" max="6415" width="5.85546875" style="1" customWidth="1"/>
    <col min="6416" max="6417" width="7.28515625" style="1" customWidth="1"/>
    <col min="6418" max="6418" width="7.42578125" style="1" customWidth="1"/>
    <col min="6419" max="6419" width="6.28515625" style="1" bestFit="1" customWidth="1"/>
    <col min="6420" max="6420" width="7.140625" style="1" bestFit="1" customWidth="1"/>
    <col min="6421" max="6422" width="5.5703125" style="1" bestFit="1" customWidth="1"/>
    <col min="6423" max="6424" width="6.28515625" style="1" customWidth="1"/>
    <col min="6425" max="6425" width="7.7109375" style="1" customWidth="1"/>
    <col min="6426" max="6657" width="9.140625" style="1"/>
    <col min="6658" max="6658" width="4.7109375" style="1" customWidth="1"/>
    <col min="6659" max="6659" width="16.28515625" style="1" customWidth="1"/>
    <col min="6660" max="6660" width="9.7109375" style="1" customWidth="1"/>
    <col min="6661" max="6662" width="5.5703125" style="1" bestFit="1" customWidth="1"/>
    <col min="6663" max="6663" width="6.5703125" style="1" bestFit="1" customWidth="1"/>
    <col min="6664" max="6664" width="6.85546875" style="1" bestFit="1" customWidth="1"/>
    <col min="6665" max="6665" width="7.140625" style="1" bestFit="1" customWidth="1"/>
    <col min="6666" max="6666" width="7" style="1" bestFit="1" customWidth="1"/>
    <col min="6667" max="6667" width="9" style="1" bestFit="1" customWidth="1"/>
    <col min="6668" max="6668" width="8.85546875" style="1" bestFit="1" customWidth="1"/>
    <col min="6669" max="6669" width="8" style="1" bestFit="1" customWidth="1"/>
    <col min="6670" max="6671" width="5.85546875" style="1" customWidth="1"/>
    <col min="6672" max="6673" width="7.28515625" style="1" customWidth="1"/>
    <col min="6674" max="6674" width="7.42578125" style="1" customWidth="1"/>
    <col min="6675" max="6675" width="6.28515625" style="1" bestFit="1" customWidth="1"/>
    <col min="6676" max="6676" width="7.140625" style="1" bestFit="1" customWidth="1"/>
    <col min="6677" max="6678" width="5.5703125" style="1" bestFit="1" customWidth="1"/>
    <col min="6679" max="6680" width="6.28515625" style="1" customWidth="1"/>
    <col min="6681" max="6681" width="7.7109375" style="1" customWidth="1"/>
    <col min="6682" max="6913" width="9.140625" style="1"/>
    <col min="6914" max="6914" width="4.7109375" style="1" customWidth="1"/>
    <col min="6915" max="6915" width="16.28515625" style="1" customWidth="1"/>
    <col min="6916" max="6916" width="9.7109375" style="1" customWidth="1"/>
    <col min="6917" max="6918" width="5.5703125" style="1" bestFit="1" customWidth="1"/>
    <col min="6919" max="6919" width="6.5703125" style="1" bestFit="1" customWidth="1"/>
    <col min="6920" max="6920" width="6.85546875" style="1" bestFit="1" customWidth="1"/>
    <col min="6921" max="6921" width="7.140625" style="1" bestFit="1" customWidth="1"/>
    <col min="6922" max="6922" width="7" style="1" bestFit="1" customWidth="1"/>
    <col min="6923" max="6923" width="9" style="1" bestFit="1" customWidth="1"/>
    <col min="6924" max="6924" width="8.85546875" style="1" bestFit="1" customWidth="1"/>
    <col min="6925" max="6925" width="8" style="1" bestFit="1" customWidth="1"/>
    <col min="6926" max="6927" width="5.85546875" style="1" customWidth="1"/>
    <col min="6928" max="6929" width="7.28515625" style="1" customWidth="1"/>
    <col min="6930" max="6930" width="7.42578125" style="1" customWidth="1"/>
    <col min="6931" max="6931" width="6.28515625" style="1" bestFit="1" customWidth="1"/>
    <col min="6932" max="6932" width="7.140625" style="1" bestFit="1" customWidth="1"/>
    <col min="6933" max="6934" width="5.5703125" style="1" bestFit="1" customWidth="1"/>
    <col min="6935" max="6936" width="6.28515625" style="1" customWidth="1"/>
    <col min="6937" max="6937" width="7.7109375" style="1" customWidth="1"/>
    <col min="6938" max="7169" width="9.140625" style="1"/>
    <col min="7170" max="7170" width="4.7109375" style="1" customWidth="1"/>
    <col min="7171" max="7171" width="16.28515625" style="1" customWidth="1"/>
    <col min="7172" max="7172" width="9.7109375" style="1" customWidth="1"/>
    <col min="7173" max="7174" width="5.5703125" style="1" bestFit="1" customWidth="1"/>
    <col min="7175" max="7175" width="6.5703125" style="1" bestFit="1" customWidth="1"/>
    <col min="7176" max="7176" width="6.85546875" style="1" bestFit="1" customWidth="1"/>
    <col min="7177" max="7177" width="7.140625" style="1" bestFit="1" customWidth="1"/>
    <col min="7178" max="7178" width="7" style="1" bestFit="1" customWidth="1"/>
    <col min="7179" max="7179" width="9" style="1" bestFit="1" customWidth="1"/>
    <col min="7180" max="7180" width="8.85546875" style="1" bestFit="1" customWidth="1"/>
    <col min="7181" max="7181" width="8" style="1" bestFit="1" customWidth="1"/>
    <col min="7182" max="7183" width="5.85546875" style="1" customWidth="1"/>
    <col min="7184" max="7185" width="7.28515625" style="1" customWidth="1"/>
    <col min="7186" max="7186" width="7.42578125" style="1" customWidth="1"/>
    <col min="7187" max="7187" width="6.28515625" style="1" bestFit="1" customWidth="1"/>
    <col min="7188" max="7188" width="7.140625" style="1" bestFit="1" customWidth="1"/>
    <col min="7189" max="7190" width="5.5703125" style="1" bestFit="1" customWidth="1"/>
    <col min="7191" max="7192" width="6.28515625" style="1" customWidth="1"/>
    <col min="7193" max="7193" width="7.7109375" style="1" customWidth="1"/>
    <col min="7194" max="7425" width="9.140625" style="1"/>
    <col min="7426" max="7426" width="4.7109375" style="1" customWidth="1"/>
    <col min="7427" max="7427" width="16.28515625" style="1" customWidth="1"/>
    <col min="7428" max="7428" width="9.7109375" style="1" customWidth="1"/>
    <col min="7429" max="7430" width="5.5703125" style="1" bestFit="1" customWidth="1"/>
    <col min="7431" max="7431" width="6.5703125" style="1" bestFit="1" customWidth="1"/>
    <col min="7432" max="7432" width="6.85546875" style="1" bestFit="1" customWidth="1"/>
    <col min="7433" max="7433" width="7.140625" style="1" bestFit="1" customWidth="1"/>
    <col min="7434" max="7434" width="7" style="1" bestFit="1" customWidth="1"/>
    <col min="7435" max="7435" width="9" style="1" bestFit="1" customWidth="1"/>
    <col min="7436" max="7436" width="8.85546875" style="1" bestFit="1" customWidth="1"/>
    <col min="7437" max="7437" width="8" style="1" bestFit="1" customWidth="1"/>
    <col min="7438" max="7439" width="5.85546875" style="1" customWidth="1"/>
    <col min="7440" max="7441" width="7.28515625" style="1" customWidth="1"/>
    <col min="7442" max="7442" width="7.42578125" style="1" customWidth="1"/>
    <col min="7443" max="7443" width="6.28515625" style="1" bestFit="1" customWidth="1"/>
    <col min="7444" max="7444" width="7.140625" style="1" bestFit="1" customWidth="1"/>
    <col min="7445" max="7446" width="5.5703125" style="1" bestFit="1" customWidth="1"/>
    <col min="7447" max="7448" width="6.28515625" style="1" customWidth="1"/>
    <col min="7449" max="7449" width="7.7109375" style="1" customWidth="1"/>
    <col min="7450" max="7681" width="9.140625" style="1"/>
    <col min="7682" max="7682" width="4.7109375" style="1" customWidth="1"/>
    <col min="7683" max="7683" width="16.28515625" style="1" customWidth="1"/>
    <col min="7684" max="7684" width="9.7109375" style="1" customWidth="1"/>
    <col min="7685" max="7686" width="5.5703125" style="1" bestFit="1" customWidth="1"/>
    <col min="7687" max="7687" width="6.5703125" style="1" bestFit="1" customWidth="1"/>
    <col min="7688" max="7688" width="6.85546875" style="1" bestFit="1" customWidth="1"/>
    <col min="7689" max="7689" width="7.140625" style="1" bestFit="1" customWidth="1"/>
    <col min="7690" max="7690" width="7" style="1" bestFit="1" customWidth="1"/>
    <col min="7691" max="7691" width="9" style="1" bestFit="1" customWidth="1"/>
    <col min="7692" max="7692" width="8.85546875" style="1" bestFit="1" customWidth="1"/>
    <col min="7693" max="7693" width="8" style="1" bestFit="1" customWidth="1"/>
    <col min="7694" max="7695" width="5.85546875" style="1" customWidth="1"/>
    <col min="7696" max="7697" width="7.28515625" style="1" customWidth="1"/>
    <col min="7698" max="7698" width="7.42578125" style="1" customWidth="1"/>
    <col min="7699" max="7699" width="6.28515625" style="1" bestFit="1" customWidth="1"/>
    <col min="7700" max="7700" width="7.140625" style="1" bestFit="1" customWidth="1"/>
    <col min="7701" max="7702" width="5.5703125" style="1" bestFit="1" customWidth="1"/>
    <col min="7703" max="7704" width="6.28515625" style="1" customWidth="1"/>
    <col min="7705" max="7705" width="7.7109375" style="1" customWidth="1"/>
    <col min="7706" max="7937" width="9.140625" style="1"/>
    <col min="7938" max="7938" width="4.7109375" style="1" customWidth="1"/>
    <col min="7939" max="7939" width="16.28515625" style="1" customWidth="1"/>
    <col min="7940" max="7940" width="9.7109375" style="1" customWidth="1"/>
    <col min="7941" max="7942" width="5.5703125" style="1" bestFit="1" customWidth="1"/>
    <col min="7943" max="7943" width="6.5703125" style="1" bestFit="1" customWidth="1"/>
    <col min="7944" max="7944" width="6.85546875" style="1" bestFit="1" customWidth="1"/>
    <col min="7945" max="7945" width="7.140625" style="1" bestFit="1" customWidth="1"/>
    <col min="7946" max="7946" width="7" style="1" bestFit="1" customWidth="1"/>
    <col min="7947" max="7947" width="9" style="1" bestFit="1" customWidth="1"/>
    <col min="7948" max="7948" width="8.85546875" style="1" bestFit="1" customWidth="1"/>
    <col min="7949" max="7949" width="8" style="1" bestFit="1" customWidth="1"/>
    <col min="7950" max="7951" width="5.85546875" style="1" customWidth="1"/>
    <col min="7952" max="7953" width="7.28515625" style="1" customWidth="1"/>
    <col min="7954" max="7954" width="7.42578125" style="1" customWidth="1"/>
    <col min="7955" max="7955" width="6.28515625" style="1" bestFit="1" customWidth="1"/>
    <col min="7956" max="7956" width="7.140625" style="1" bestFit="1" customWidth="1"/>
    <col min="7957" max="7958" width="5.5703125" style="1" bestFit="1" customWidth="1"/>
    <col min="7959" max="7960" width="6.28515625" style="1" customWidth="1"/>
    <col min="7961" max="7961" width="7.7109375" style="1" customWidth="1"/>
    <col min="7962" max="8193" width="9.140625" style="1"/>
    <col min="8194" max="8194" width="4.7109375" style="1" customWidth="1"/>
    <col min="8195" max="8195" width="16.28515625" style="1" customWidth="1"/>
    <col min="8196" max="8196" width="9.7109375" style="1" customWidth="1"/>
    <col min="8197" max="8198" width="5.5703125" style="1" bestFit="1" customWidth="1"/>
    <col min="8199" max="8199" width="6.5703125" style="1" bestFit="1" customWidth="1"/>
    <col min="8200" max="8200" width="6.85546875" style="1" bestFit="1" customWidth="1"/>
    <col min="8201" max="8201" width="7.140625" style="1" bestFit="1" customWidth="1"/>
    <col min="8202" max="8202" width="7" style="1" bestFit="1" customWidth="1"/>
    <col min="8203" max="8203" width="9" style="1" bestFit="1" customWidth="1"/>
    <col min="8204" max="8204" width="8.85546875" style="1" bestFit="1" customWidth="1"/>
    <col min="8205" max="8205" width="8" style="1" bestFit="1" customWidth="1"/>
    <col min="8206" max="8207" width="5.85546875" style="1" customWidth="1"/>
    <col min="8208" max="8209" width="7.28515625" style="1" customWidth="1"/>
    <col min="8210" max="8210" width="7.42578125" style="1" customWidth="1"/>
    <col min="8211" max="8211" width="6.28515625" style="1" bestFit="1" customWidth="1"/>
    <col min="8212" max="8212" width="7.140625" style="1" bestFit="1" customWidth="1"/>
    <col min="8213" max="8214" width="5.5703125" style="1" bestFit="1" customWidth="1"/>
    <col min="8215" max="8216" width="6.28515625" style="1" customWidth="1"/>
    <col min="8217" max="8217" width="7.7109375" style="1" customWidth="1"/>
    <col min="8218" max="8449" width="9.140625" style="1"/>
    <col min="8450" max="8450" width="4.7109375" style="1" customWidth="1"/>
    <col min="8451" max="8451" width="16.28515625" style="1" customWidth="1"/>
    <col min="8452" max="8452" width="9.7109375" style="1" customWidth="1"/>
    <col min="8453" max="8454" width="5.5703125" style="1" bestFit="1" customWidth="1"/>
    <col min="8455" max="8455" width="6.5703125" style="1" bestFit="1" customWidth="1"/>
    <col min="8456" max="8456" width="6.85546875" style="1" bestFit="1" customWidth="1"/>
    <col min="8457" max="8457" width="7.140625" style="1" bestFit="1" customWidth="1"/>
    <col min="8458" max="8458" width="7" style="1" bestFit="1" customWidth="1"/>
    <col min="8459" max="8459" width="9" style="1" bestFit="1" customWidth="1"/>
    <col min="8460" max="8460" width="8.85546875" style="1" bestFit="1" customWidth="1"/>
    <col min="8461" max="8461" width="8" style="1" bestFit="1" customWidth="1"/>
    <col min="8462" max="8463" width="5.85546875" style="1" customWidth="1"/>
    <col min="8464" max="8465" width="7.28515625" style="1" customWidth="1"/>
    <col min="8466" max="8466" width="7.42578125" style="1" customWidth="1"/>
    <col min="8467" max="8467" width="6.28515625" style="1" bestFit="1" customWidth="1"/>
    <col min="8468" max="8468" width="7.140625" style="1" bestFit="1" customWidth="1"/>
    <col min="8469" max="8470" width="5.5703125" style="1" bestFit="1" customWidth="1"/>
    <col min="8471" max="8472" width="6.28515625" style="1" customWidth="1"/>
    <col min="8473" max="8473" width="7.7109375" style="1" customWidth="1"/>
    <col min="8474" max="8705" width="9.140625" style="1"/>
    <col min="8706" max="8706" width="4.7109375" style="1" customWidth="1"/>
    <col min="8707" max="8707" width="16.28515625" style="1" customWidth="1"/>
    <col min="8708" max="8708" width="9.7109375" style="1" customWidth="1"/>
    <col min="8709" max="8710" width="5.5703125" style="1" bestFit="1" customWidth="1"/>
    <col min="8711" max="8711" width="6.5703125" style="1" bestFit="1" customWidth="1"/>
    <col min="8712" max="8712" width="6.85546875" style="1" bestFit="1" customWidth="1"/>
    <col min="8713" max="8713" width="7.140625" style="1" bestFit="1" customWidth="1"/>
    <col min="8714" max="8714" width="7" style="1" bestFit="1" customWidth="1"/>
    <col min="8715" max="8715" width="9" style="1" bestFit="1" customWidth="1"/>
    <col min="8716" max="8716" width="8.85546875" style="1" bestFit="1" customWidth="1"/>
    <col min="8717" max="8717" width="8" style="1" bestFit="1" customWidth="1"/>
    <col min="8718" max="8719" width="5.85546875" style="1" customWidth="1"/>
    <col min="8720" max="8721" width="7.28515625" style="1" customWidth="1"/>
    <col min="8722" max="8722" width="7.42578125" style="1" customWidth="1"/>
    <col min="8723" max="8723" width="6.28515625" style="1" bestFit="1" customWidth="1"/>
    <col min="8724" max="8724" width="7.140625" style="1" bestFit="1" customWidth="1"/>
    <col min="8725" max="8726" width="5.5703125" style="1" bestFit="1" customWidth="1"/>
    <col min="8727" max="8728" width="6.28515625" style="1" customWidth="1"/>
    <col min="8729" max="8729" width="7.7109375" style="1" customWidth="1"/>
    <col min="8730" max="8961" width="9.140625" style="1"/>
    <col min="8962" max="8962" width="4.7109375" style="1" customWidth="1"/>
    <col min="8963" max="8963" width="16.28515625" style="1" customWidth="1"/>
    <col min="8964" max="8964" width="9.7109375" style="1" customWidth="1"/>
    <col min="8965" max="8966" width="5.5703125" style="1" bestFit="1" customWidth="1"/>
    <col min="8967" max="8967" width="6.5703125" style="1" bestFit="1" customWidth="1"/>
    <col min="8968" max="8968" width="6.85546875" style="1" bestFit="1" customWidth="1"/>
    <col min="8969" max="8969" width="7.140625" style="1" bestFit="1" customWidth="1"/>
    <col min="8970" max="8970" width="7" style="1" bestFit="1" customWidth="1"/>
    <col min="8971" max="8971" width="9" style="1" bestFit="1" customWidth="1"/>
    <col min="8972" max="8972" width="8.85546875" style="1" bestFit="1" customWidth="1"/>
    <col min="8973" max="8973" width="8" style="1" bestFit="1" customWidth="1"/>
    <col min="8974" max="8975" width="5.85546875" style="1" customWidth="1"/>
    <col min="8976" max="8977" width="7.28515625" style="1" customWidth="1"/>
    <col min="8978" max="8978" width="7.42578125" style="1" customWidth="1"/>
    <col min="8979" max="8979" width="6.28515625" style="1" bestFit="1" customWidth="1"/>
    <col min="8980" max="8980" width="7.140625" style="1" bestFit="1" customWidth="1"/>
    <col min="8981" max="8982" width="5.5703125" style="1" bestFit="1" customWidth="1"/>
    <col min="8983" max="8984" width="6.28515625" style="1" customWidth="1"/>
    <col min="8985" max="8985" width="7.7109375" style="1" customWidth="1"/>
    <col min="8986" max="9217" width="9.140625" style="1"/>
    <col min="9218" max="9218" width="4.7109375" style="1" customWidth="1"/>
    <col min="9219" max="9219" width="16.28515625" style="1" customWidth="1"/>
    <col min="9220" max="9220" width="9.7109375" style="1" customWidth="1"/>
    <col min="9221" max="9222" width="5.5703125" style="1" bestFit="1" customWidth="1"/>
    <col min="9223" max="9223" width="6.5703125" style="1" bestFit="1" customWidth="1"/>
    <col min="9224" max="9224" width="6.85546875" style="1" bestFit="1" customWidth="1"/>
    <col min="9225" max="9225" width="7.140625" style="1" bestFit="1" customWidth="1"/>
    <col min="9226" max="9226" width="7" style="1" bestFit="1" customWidth="1"/>
    <col min="9227" max="9227" width="9" style="1" bestFit="1" customWidth="1"/>
    <col min="9228" max="9228" width="8.85546875" style="1" bestFit="1" customWidth="1"/>
    <col min="9229" max="9229" width="8" style="1" bestFit="1" customWidth="1"/>
    <col min="9230" max="9231" width="5.85546875" style="1" customWidth="1"/>
    <col min="9232" max="9233" width="7.28515625" style="1" customWidth="1"/>
    <col min="9234" max="9234" width="7.42578125" style="1" customWidth="1"/>
    <col min="9235" max="9235" width="6.28515625" style="1" bestFit="1" customWidth="1"/>
    <col min="9236" max="9236" width="7.140625" style="1" bestFit="1" customWidth="1"/>
    <col min="9237" max="9238" width="5.5703125" style="1" bestFit="1" customWidth="1"/>
    <col min="9239" max="9240" width="6.28515625" style="1" customWidth="1"/>
    <col min="9241" max="9241" width="7.7109375" style="1" customWidth="1"/>
    <col min="9242" max="9473" width="9.140625" style="1"/>
    <col min="9474" max="9474" width="4.7109375" style="1" customWidth="1"/>
    <col min="9475" max="9475" width="16.28515625" style="1" customWidth="1"/>
    <col min="9476" max="9476" width="9.7109375" style="1" customWidth="1"/>
    <col min="9477" max="9478" width="5.5703125" style="1" bestFit="1" customWidth="1"/>
    <col min="9479" max="9479" width="6.5703125" style="1" bestFit="1" customWidth="1"/>
    <col min="9480" max="9480" width="6.85546875" style="1" bestFit="1" customWidth="1"/>
    <col min="9481" max="9481" width="7.140625" style="1" bestFit="1" customWidth="1"/>
    <col min="9482" max="9482" width="7" style="1" bestFit="1" customWidth="1"/>
    <col min="9483" max="9483" width="9" style="1" bestFit="1" customWidth="1"/>
    <col min="9484" max="9484" width="8.85546875" style="1" bestFit="1" customWidth="1"/>
    <col min="9485" max="9485" width="8" style="1" bestFit="1" customWidth="1"/>
    <col min="9486" max="9487" width="5.85546875" style="1" customWidth="1"/>
    <col min="9488" max="9489" width="7.28515625" style="1" customWidth="1"/>
    <col min="9490" max="9490" width="7.42578125" style="1" customWidth="1"/>
    <col min="9491" max="9491" width="6.28515625" style="1" bestFit="1" customWidth="1"/>
    <col min="9492" max="9492" width="7.140625" style="1" bestFit="1" customWidth="1"/>
    <col min="9493" max="9494" width="5.5703125" style="1" bestFit="1" customWidth="1"/>
    <col min="9495" max="9496" width="6.28515625" style="1" customWidth="1"/>
    <col min="9497" max="9497" width="7.7109375" style="1" customWidth="1"/>
    <col min="9498" max="9729" width="9.140625" style="1"/>
    <col min="9730" max="9730" width="4.7109375" style="1" customWidth="1"/>
    <col min="9731" max="9731" width="16.28515625" style="1" customWidth="1"/>
    <col min="9732" max="9732" width="9.7109375" style="1" customWidth="1"/>
    <col min="9733" max="9734" width="5.5703125" style="1" bestFit="1" customWidth="1"/>
    <col min="9735" max="9735" width="6.5703125" style="1" bestFit="1" customWidth="1"/>
    <col min="9736" max="9736" width="6.85546875" style="1" bestFit="1" customWidth="1"/>
    <col min="9737" max="9737" width="7.140625" style="1" bestFit="1" customWidth="1"/>
    <col min="9738" max="9738" width="7" style="1" bestFit="1" customWidth="1"/>
    <col min="9739" max="9739" width="9" style="1" bestFit="1" customWidth="1"/>
    <col min="9740" max="9740" width="8.85546875" style="1" bestFit="1" customWidth="1"/>
    <col min="9741" max="9741" width="8" style="1" bestFit="1" customWidth="1"/>
    <col min="9742" max="9743" width="5.85546875" style="1" customWidth="1"/>
    <col min="9744" max="9745" width="7.28515625" style="1" customWidth="1"/>
    <col min="9746" max="9746" width="7.42578125" style="1" customWidth="1"/>
    <col min="9747" max="9747" width="6.28515625" style="1" bestFit="1" customWidth="1"/>
    <col min="9748" max="9748" width="7.140625" style="1" bestFit="1" customWidth="1"/>
    <col min="9749" max="9750" width="5.5703125" style="1" bestFit="1" customWidth="1"/>
    <col min="9751" max="9752" width="6.28515625" style="1" customWidth="1"/>
    <col min="9753" max="9753" width="7.7109375" style="1" customWidth="1"/>
    <col min="9754" max="9985" width="9.140625" style="1"/>
    <col min="9986" max="9986" width="4.7109375" style="1" customWidth="1"/>
    <col min="9987" max="9987" width="16.28515625" style="1" customWidth="1"/>
    <col min="9988" max="9988" width="9.7109375" style="1" customWidth="1"/>
    <col min="9989" max="9990" width="5.5703125" style="1" bestFit="1" customWidth="1"/>
    <col min="9991" max="9991" width="6.5703125" style="1" bestFit="1" customWidth="1"/>
    <col min="9992" max="9992" width="6.85546875" style="1" bestFit="1" customWidth="1"/>
    <col min="9993" max="9993" width="7.140625" style="1" bestFit="1" customWidth="1"/>
    <col min="9994" max="9994" width="7" style="1" bestFit="1" customWidth="1"/>
    <col min="9995" max="9995" width="9" style="1" bestFit="1" customWidth="1"/>
    <col min="9996" max="9996" width="8.85546875" style="1" bestFit="1" customWidth="1"/>
    <col min="9997" max="9997" width="8" style="1" bestFit="1" customWidth="1"/>
    <col min="9998" max="9999" width="5.85546875" style="1" customWidth="1"/>
    <col min="10000" max="10001" width="7.28515625" style="1" customWidth="1"/>
    <col min="10002" max="10002" width="7.42578125" style="1" customWidth="1"/>
    <col min="10003" max="10003" width="6.28515625" style="1" bestFit="1" customWidth="1"/>
    <col min="10004" max="10004" width="7.140625" style="1" bestFit="1" customWidth="1"/>
    <col min="10005" max="10006" width="5.5703125" style="1" bestFit="1" customWidth="1"/>
    <col min="10007" max="10008" width="6.28515625" style="1" customWidth="1"/>
    <col min="10009" max="10009" width="7.7109375" style="1" customWidth="1"/>
    <col min="10010" max="10241" width="9.140625" style="1"/>
    <col min="10242" max="10242" width="4.7109375" style="1" customWidth="1"/>
    <col min="10243" max="10243" width="16.28515625" style="1" customWidth="1"/>
    <col min="10244" max="10244" width="9.7109375" style="1" customWidth="1"/>
    <col min="10245" max="10246" width="5.5703125" style="1" bestFit="1" customWidth="1"/>
    <col min="10247" max="10247" width="6.5703125" style="1" bestFit="1" customWidth="1"/>
    <col min="10248" max="10248" width="6.85546875" style="1" bestFit="1" customWidth="1"/>
    <col min="10249" max="10249" width="7.140625" style="1" bestFit="1" customWidth="1"/>
    <col min="10250" max="10250" width="7" style="1" bestFit="1" customWidth="1"/>
    <col min="10251" max="10251" width="9" style="1" bestFit="1" customWidth="1"/>
    <col min="10252" max="10252" width="8.85546875" style="1" bestFit="1" customWidth="1"/>
    <col min="10253" max="10253" width="8" style="1" bestFit="1" customWidth="1"/>
    <col min="10254" max="10255" width="5.85546875" style="1" customWidth="1"/>
    <col min="10256" max="10257" width="7.28515625" style="1" customWidth="1"/>
    <col min="10258" max="10258" width="7.42578125" style="1" customWidth="1"/>
    <col min="10259" max="10259" width="6.28515625" style="1" bestFit="1" customWidth="1"/>
    <col min="10260" max="10260" width="7.140625" style="1" bestFit="1" customWidth="1"/>
    <col min="10261" max="10262" width="5.5703125" style="1" bestFit="1" customWidth="1"/>
    <col min="10263" max="10264" width="6.28515625" style="1" customWidth="1"/>
    <col min="10265" max="10265" width="7.7109375" style="1" customWidth="1"/>
    <col min="10266" max="10497" width="9.140625" style="1"/>
    <col min="10498" max="10498" width="4.7109375" style="1" customWidth="1"/>
    <col min="10499" max="10499" width="16.28515625" style="1" customWidth="1"/>
    <col min="10500" max="10500" width="9.7109375" style="1" customWidth="1"/>
    <col min="10501" max="10502" width="5.5703125" style="1" bestFit="1" customWidth="1"/>
    <col min="10503" max="10503" width="6.5703125" style="1" bestFit="1" customWidth="1"/>
    <col min="10504" max="10504" width="6.85546875" style="1" bestFit="1" customWidth="1"/>
    <col min="10505" max="10505" width="7.140625" style="1" bestFit="1" customWidth="1"/>
    <col min="10506" max="10506" width="7" style="1" bestFit="1" customWidth="1"/>
    <col min="10507" max="10507" width="9" style="1" bestFit="1" customWidth="1"/>
    <col min="10508" max="10508" width="8.85546875" style="1" bestFit="1" customWidth="1"/>
    <col min="10509" max="10509" width="8" style="1" bestFit="1" customWidth="1"/>
    <col min="10510" max="10511" width="5.85546875" style="1" customWidth="1"/>
    <col min="10512" max="10513" width="7.28515625" style="1" customWidth="1"/>
    <col min="10514" max="10514" width="7.42578125" style="1" customWidth="1"/>
    <col min="10515" max="10515" width="6.28515625" style="1" bestFit="1" customWidth="1"/>
    <col min="10516" max="10516" width="7.140625" style="1" bestFit="1" customWidth="1"/>
    <col min="10517" max="10518" width="5.5703125" style="1" bestFit="1" customWidth="1"/>
    <col min="10519" max="10520" width="6.28515625" style="1" customWidth="1"/>
    <col min="10521" max="10521" width="7.7109375" style="1" customWidth="1"/>
    <col min="10522" max="10753" width="9.140625" style="1"/>
    <col min="10754" max="10754" width="4.7109375" style="1" customWidth="1"/>
    <col min="10755" max="10755" width="16.28515625" style="1" customWidth="1"/>
    <col min="10756" max="10756" width="9.7109375" style="1" customWidth="1"/>
    <col min="10757" max="10758" width="5.5703125" style="1" bestFit="1" customWidth="1"/>
    <col min="10759" max="10759" width="6.5703125" style="1" bestFit="1" customWidth="1"/>
    <col min="10760" max="10760" width="6.85546875" style="1" bestFit="1" customWidth="1"/>
    <col min="10761" max="10761" width="7.140625" style="1" bestFit="1" customWidth="1"/>
    <col min="10762" max="10762" width="7" style="1" bestFit="1" customWidth="1"/>
    <col min="10763" max="10763" width="9" style="1" bestFit="1" customWidth="1"/>
    <col min="10764" max="10764" width="8.85546875" style="1" bestFit="1" customWidth="1"/>
    <col min="10765" max="10765" width="8" style="1" bestFit="1" customWidth="1"/>
    <col min="10766" max="10767" width="5.85546875" style="1" customWidth="1"/>
    <col min="10768" max="10769" width="7.28515625" style="1" customWidth="1"/>
    <col min="10770" max="10770" width="7.42578125" style="1" customWidth="1"/>
    <col min="10771" max="10771" width="6.28515625" style="1" bestFit="1" customWidth="1"/>
    <col min="10772" max="10772" width="7.140625" style="1" bestFit="1" customWidth="1"/>
    <col min="10773" max="10774" width="5.5703125" style="1" bestFit="1" customWidth="1"/>
    <col min="10775" max="10776" width="6.28515625" style="1" customWidth="1"/>
    <col min="10777" max="10777" width="7.7109375" style="1" customWidth="1"/>
    <col min="10778" max="11009" width="9.140625" style="1"/>
    <col min="11010" max="11010" width="4.7109375" style="1" customWidth="1"/>
    <col min="11011" max="11011" width="16.28515625" style="1" customWidth="1"/>
    <col min="11012" max="11012" width="9.7109375" style="1" customWidth="1"/>
    <col min="11013" max="11014" width="5.5703125" style="1" bestFit="1" customWidth="1"/>
    <col min="11015" max="11015" width="6.5703125" style="1" bestFit="1" customWidth="1"/>
    <col min="11016" max="11016" width="6.85546875" style="1" bestFit="1" customWidth="1"/>
    <col min="11017" max="11017" width="7.140625" style="1" bestFit="1" customWidth="1"/>
    <col min="11018" max="11018" width="7" style="1" bestFit="1" customWidth="1"/>
    <col min="11019" max="11019" width="9" style="1" bestFit="1" customWidth="1"/>
    <col min="11020" max="11020" width="8.85546875" style="1" bestFit="1" customWidth="1"/>
    <col min="11021" max="11021" width="8" style="1" bestFit="1" customWidth="1"/>
    <col min="11022" max="11023" width="5.85546875" style="1" customWidth="1"/>
    <col min="11024" max="11025" width="7.28515625" style="1" customWidth="1"/>
    <col min="11026" max="11026" width="7.42578125" style="1" customWidth="1"/>
    <col min="11027" max="11027" width="6.28515625" style="1" bestFit="1" customWidth="1"/>
    <col min="11028" max="11028" width="7.140625" style="1" bestFit="1" customWidth="1"/>
    <col min="11029" max="11030" width="5.5703125" style="1" bestFit="1" customWidth="1"/>
    <col min="11031" max="11032" width="6.28515625" style="1" customWidth="1"/>
    <col min="11033" max="11033" width="7.7109375" style="1" customWidth="1"/>
    <col min="11034" max="11265" width="9.140625" style="1"/>
    <col min="11266" max="11266" width="4.7109375" style="1" customWidth="1"/>
    <col min="11267" max="11267" width="16.28515625" style="1" customWidth="1"/>
    <col min="11268" max="11268" width="9.7109375" style="1" customWidth="1"/>
    <col min="11269" max="11270" width="5.5703125" style="1" bestFit="1" customWidth="1"/>
    <col min="11271" max="11271" width="6.5703125" style="1" bestFit="1" customWidth="1"/>
    <col min="11272" max="11272" width="6.85546875" style="1" bestFit="1" customWidth="1"/>
    <col min="11273" max="11273" width="7.140625" style="1" bestFit="1" customWidth="1"/>
    <col min="11274" max="11274" width="7" style="1" bestFit="1" customWidth="1"/>
    <col min="11275" max="11275" width="9" style="1" bestFit="1" customWidth="1"/>
    <col min="11276" max="11276" width="8.85546875" style="1" bestFit="1" customWidth="1"/>
    <col min="11277" max="11277" width="8" style="1" bestFit="1" customWidth="1"/>
    <col min="11278" max="11279" width="5.85546875" style="1" customWidth="1"/>
    <col min="11280" max="11281" width="7.28515625" style="1" customWidth="1"/>
    <col min="11282" max="11282" width="7.42578125" style="1" customWidth="1"/>
    <col min="11283" max="11283" width="6.28515625" style="1" bestFit="1" customWidth="1"/>
    <col min="11284" max="11284" width="7.140625" style="1" bestFit="1" customWidth="1"/>
    <col min="11285" max="11286" width="5.5703125" style="1" bestFit="1" customWidth="1"/>
    <col min="11287" max="11288" width="6.28515625" style="1" customWidth="1"/>
    <col min="11289" max="11289" width="7.7109375" style="1" customWidth="1"/>
    <col min="11290" max="11521" width="9.140625" style="1"/>
    <col min="11522" max="11522" width="4.7109375" style="1" customWidth="1"/>
    <col min="11523" max="11523" width="16.28515625" style="1" customWidth="1"/>
    <col min="11524" max="11524" width="9.7109375" style="1" customWidth="1"/>
    <col min="11525" max="11526" width="5.5703125" style="1" bestFit="1" customWidth="1"/>
    <col min="11527" max="11527" width="6.5703125" style="1" bestFit="1" customWidth="1"/>
    <col min="11528" max="11528" width="6.85546875" style="1" bestFit="1" customWidth="1"/>
    <col min="11529" max="11529" width="7.140625" style="1" bestFit="1" customWidth="1"/>
    <col min="11530" max="11530" width="7" style="1" bestFit="1" customWidth="1"/>
    <col min="11531" max="11531" width="9" style="1" bestFit="1" customWidth="1"/>
    <col min="11532" max="11532" width="8.85546875" style="1" bestFit="1" customWidth="1"/>
    <col min="11533" max="11533" width="8" style="1" bestFit="1" customWidth="1"/>
    <col min="11534" max="11535" width="5.85546875" style="1" customWidth="1"/>
    <col min="11536" max="11537" width="7.28515625" style="1" customWidth="1"/>
    <col min="11538" max="11538" width="7.42578125" style="1" customWidth="1"/>
    <col min="11539" max="11539" width="6.28515625" style="1" bestFit="1" customWidth="1"/>
    <col min="11540" max="11540" width="7.140625" style="1" bestFit="1" customWidth="1"/>
    <col min="11541" max="11542" width="5.5703125" style="1" bestFit="1" customWidth="1"/>
    <col min="11543" max="11544" width="6.28515625" style="1" customWidth="1"/>
    <col min="11545" max="11545" width="7.7109375" style="1" customWidth="1"/>
    <col min="11546" max="11777" width="9.140625" style="1"/>
    <col min="11778" max="11778" width="4.7109375" style="1" customWidth="1"/>
    <col min="11779" max="11779" width="16.28515625" style="1" customWidth="1"/>
    <col min="11780" max="11780" width="9.7109375" style="1" customWidth="1"/>
    <col min="11781" max="11782" width="5.5703125" style="1" bestFit="1" customWidth="1"/>
    <col min="11783" max="11783" width="6.5703125" style="1" bestFit="1" customWidth="1"/>
    <col min="11784" max="11784" width="6.85546875" style="1" bestFit="1" customWidth="1"/>
    <col min="11785" max="11785" width="7.140625" style="1" bestFit="1" customWidth="1"/>
    <col min="11786" max="11786" width="7" style="1" bestFit="1" customWidth="1"/>
    <col min="11787" max="11787" width="9" style="1" bestFit="1" customWidth="1"/>
    <col min="11788" max="11788" width="8.85546875" style="1" bestFit="1" customWidth="1"/>
    <col min="11789" max="11789" width="8" style="1" bestFit="1" customWidth="1"/>
    <col min="11790" max="11791" width="5.85546875" style="1" customWidth="1"/>
    <col min="11792" max="11793" width="7.28515625" style="1" customWidth="1"/>
    <col min="11794" max="11794" width="7.42578125" style="1" customWidth="1"/>
    <col min="11795" max="11795" width="6.28515625" style="1" bestFit="1" customWidth="1"/>
    <col min="11796" max="11796" width="7.140625" style="1" bestFit="1" customWidth="1"/>
    <col min="11797" max="11798" width="5.5703125" style="1" bestFit="1" customWidth="1"/>
    <col min="11799" max="11800" width="6.28515625" style="1" customWidth="1"/>
    <col min="11801" max="11801" width="7.7109375" style="1" customWidth="1"/>
    <col min="11802" max="12033" width="9.140625" style="1"/>
    <col min="12034" max="12034" width="4.7109375" style="1" customWidth="1"/>
    <col min="12035" max="12035" width="16.28515625" style="1" customWidth="1"/>
    <col min="12036" max="12036" width="9.7109375" style="1" customWidth="1"/>
    <col min="12037" max="12038" width="5.5703125" style="1" bestFit="1" customWidth="1"/>
    <col min="12039" max="12039" width="6.5703125" style="1" bestFit="1" customWidth="1"/>
    <col min="12040" max="12040" width="6.85546875" style="1" bestFit="1" customWidth="1"/>
    <col min="12041" max="12041" width="7.140625" style="1" bestFit="1" customWidth="1"/>
    <col min="12042" max="12042" width="7" style="1" bestFit="1" customWidth="1"/>
    <col min="12043" max="12043" width="9" style="1" bestFit="1" customWidth="1"/>
    <col min="12044" max="12044" width="8.85546875" style="1" bestFit="1" customWidth="1"/>
    <col min="12045" max="12045" width="8" style="1" bestFit="1" customWidth="1"/>
    <col min="12046" max="12047" width="5.85546875" style="1" customWidth="1"/>
    <col min="12048" max="12049" width="7.28515625" style="1" customWidth="1"/>
    <col min="12050" max="12050" width="7.42578125" style="1" customWidth="1"/>
    <col min="12051" max="12051" width="6.28515625" style="1" bestFit="1" customWidth="1"/>
    <col min="12052" max="12052" width="7.140625" style="1" bestFit="1" customWidth="1"/>
    <col min="12053" max="12054" width="5.5703125" style="1" bestFit="1" customWidth="1"/>
    <col min="12055" max="12056" width="6.28515625" style="1" customWidth="1"/>
    <col min="12057" max="12057" width="7.7109375" style="1" customWidth="1"/>
    <col min="12058" max="12289" width="9.140625" style="1"/>
    <col min="12290" max="12290" width="4.7109375" style="1" customWidth="1"/>
    <col min="12291" max="12291" width="16.28515625" style="1" customWidth="1"/>
    <col min="12292" max="12292" width="9.7109375" style="1" customWidth="1"/>
    <col min="12293" max="12294" width="5.5703125" style="1" bestFit="1" customWidth="1"/>
    <col min="12295" max="12295" width="6.5703125" style="1" bestFit="1" customWidth="1"/>
    <col min="12296" max="12296" width="6.85546875" style="1" bestFit="1" customWidth="1"/>
    <col min="12297" max="12297" width="7.140625" style="1" bestFit="1" customWidth="1"/>
    <col min="12298" max="12298" width="7" style="1" bestFit="1" customWidth="1"/>
    <col min="12299" max="12299" width="9" style="1" bestFit="1" customWidth="1"/>
    <col min="12300" max="12300" width="8.85546875" style="1" bestFit="1" customWidth="1"/>
    <col min="12301" max="12301" width="8" style="1" bestFit="1" customWidth="1"/>
    <col min="12302" max="12303" width="5.85546875" style="1" customWidth="1"/>
    <col min="12304" max="12305" width="7.28515625" style="1" customWidth="1"/>
    <col min="12306" max="12306" width="7.42578125" style="1" customWidth="1"/>
    <col min="12307" max="12307" width="6.28515625" style="1" bestFit="1" customWidth="1"/>
    <col min="12308" max="12308" width="7.140625" style="1" bestFit="1" customWidth="1"/>
    <col min="12309" max="12310" width="5.5703125" style="1" bestFit="1" customWidth="1"/>
    <col min="12311" max="12312" width="6.28515625" style="1" customWidth="1"/>
    <col min="12313" max="12313" width="7.7109375" style="1" customWidth="1"/>
    <col min="12314" max="12545" width="9.140625" style="1"/>
    <col min="12546" max="12546" width="4.7109375" style="1" customWidth="1"/>
    <col min="12547" max="12547" width="16.28515625" style="1" customWidth="1"/>
    <col min="12548" max="12548" width="9.7109375" style="1" customWidth="1"/>
    <col min="12549" max="12550" width="5.5703125" style="1" bestFit="1" customWidth="1"/>
    <col min="12551" max="12551" width="6.5703125" style="1" bestFit="1" customWidth="1"/>
    <col min="12552" max="12552" width="6.85546875" style="1" bestFit="1" customWidth="1"/>
    <col min="12553" max="12553" width="7.140625" style="1" bestFit="1" customWidth="1"/>
    <col min="12554" max="12554" width="7" style="1" bestFit="1" customWidth="1"/>
    <col min="12555" max="12555" width="9" style="1" bestFit="1" customWidth="1"/>
    <col min="12556" max="12556" width="8.85546875" style="1" bestFit="1" customWidth="1"/>
    <col min="12557" max="12557" width="8" style="1" bestFit="1" customWidth="1"/>
    <col min="12558" max="12559" width="5.85546875" style="1" customWidth="1"/>
    <col min="12560" max="12561" width="7.28515625" style="1" customWidth="1"/>
    <col min="12562" max="12562" width="7.42578125" style="1" customWidth="1"/>
    <col min="12563" max="12563" width="6.28515625" style="1" bestFit="1" customWidth="1"/>
    <col min="12564" max="12564" width="7.140625" style="1" bestFit="1" customWidth="1"/>
    <col min="12565" max="12566" width="5.5703125" style="1" bestFit="1" customWidth="1"/>
    <col min="12567" max="12568" width="6.28515625" style="1" customWidth="1"/>
    <col min="12569" max="12569" width="7.7109375" style="1" customWidth="1"/>
    <col min="12570" max="12801" width="9.140625" style="1"/>
    <col min="12802" max="12802" width="4.7109375" style="1" customWidth="1"/>
    <col min="12803" max="12803" width="16.28515625" style="1" customWidth="1"/>
    <col min="12804" max="12804" width="9.7109375" style="1" customWidth="1"/>
    <col min="12805" max="12806" width="5.5703125" style="1" bestFit="1" customWidth="1"/>
    <col min="12807" max="12807" width="6.5703125" style="1" bestFit="1" customWidth="1"/>
    <col min="12808" max="12808" width="6.85546875" style="1" bestFit="1" customWidth="1"/>
    <col min="12809" max="12809" width="7.140625" style="1" bestFit="1" customWidth="1"/>
    <col min="12810" max="12810" width="7" style="1" bestFit="1" customWidth="1"/>
    <col min="12811" max="12811" width="9" style="1" bestFit="1" customWidth="1"/>
    <col min="12812" max="12812" width="8.85546875" style="1" bestFit="1" customWidth="1"/>
    <col min="12813" max="12813" width="8" style="1" bestFit="1" customWidth="1"/>
    <col min="12814" max="12815" width="5.85546875" style="1" customWidth="1"/>
    <col min="12816" max="12817" width="7.28515625" style="1" customWidth="1"/>
    <col min="12818" max="12818" width="7.42578125" style="1" customWidth="1"/>
    <col min="12819" max="12819" width="6.28515625" style="1" bestFit="1" customWidth="1"/>
    <col min="12820" max="12820" width="7.140625" style="1" bestFit="1" customWidth="1"/>
    <col min="12821" max="12822" width="5.5703125" style="1" bestFit="1" customWidth="1"/>
    <col min="12823" max="12824" width="6.28515625" style="1" customWidth="1"/>
    <col min="12825" max="12825" width="7.7109375" style="1" customWidth="1"/>
    <col min="12826" max="13057" width="9.140625" style="1"/>
    <col min="13058" max="13058" width="4.7109375" style="1" customWidth="1"/>
    <col min="13059" max="13059" width="16.28515625" style="1" customWidth="1"/>
    <col min="13060" max="13060" width="9.7109375" style="1" customWidth="1"/>
    <col min="13061" max="13062" width="5.5703125" style="1" bestFit="1" customWidth="1"/>
    <col min="13063" max="13063" width="6.5703125" style="1" bestFit="1" customWidth="1"/>
    <col min="13064" max="13064" width="6.85546875" style="1" bestFit="1" customWidth="1"/>
    <col min="13065" max="13065" width="7.140625" style="1" bestFit="1" customWidth="1"/>
    <col min="13066" max="13066" width="7" style="1" bestFit="1" customWidth="1"/>
    <col min="13067" max="13067" width="9" style="1" bestFit="1" customWidth="1"/>
    <col min="13068" max="13068" width="8.85546875" style="1" bestFit="1" customWidth="1"/>
    <col min="13069" max="13069" width="8" style="1" bestFit="1" customWidth="1"/>
    <col min="13070" max="13071" width="5.85546875" style="1" customWidth="1"/>
    <col min="13072" max="13073" width="7.28515625" style="1" customWidth="1"/>
    <col min="13074" max="13074" width="7.42578125" style="1" customWidth="1"/>
    <col min="13075" max="13075" width="6.28515625" style="1" bestFit="1" customWidth="1"/>
    <col min="13076" max="13076" width="7.140625" style="1" bestFit="1" customWidth="1"/>
    <col min="13077" max="13078" width="5.5703125" style="1" bestFit="1" customWidth="1"/>
    <col min="13079" max="13080" width="6.28515625" style="1" customWidth="1"/>
    <col min="13081" max="13081" width="7.7109375" style="1" customWidth="1"/>
    <col min="13082" max="13313" width="9.140625" style="1"/>
    <col min="13314" max="13314" width="4.7109375" style="1" customWidth="1"/>
    <col min="13315" max="13315" width="16.28515625" style="1" customWidth="1"/>
    <col min="13316" max="13316" width="9.7109375" style="1" customWidth="1"/>
    <col min="13317" max="13318" width="5.5703125" style="1" bestFit="1" customWidth="1"/>
    <col min="13319" max="13319" width="6.5703125" style="1" bestFit="1" customWidth="1"/>
    <col min="13320" max="13320" width="6.85546875" style="1" bestFit="1" customWidth="1"/>
    <col min="13321" max="13321" width="7.140625" style="1" bestFit="1" customWidth="1"/>
    <col min="13322" max="13322" width="7" style="1" bestFit="1" customWidth="1"/>
    <col min="13323" max="13323" width="9" style="1" bestFit="1" customWidth="1"/>
    <col min="13324" max="13324" width="8.85546875" style="1" bestFit="1" customWidth="1"/>
    <col min="13325" max="13325" width="8" style="1" bestFit="1" customWidth="1"/>
    <col min="13326" max="13327" width="5.85546875" style="1" customWidth="1"/>
    <col min="13328" max="13329" width="7.28515625" style="1" customWidth="1"/>
    <col min="13330" max="13330" width="7.42578125" style="1" customWidth="1"/>
    <col min="13331" max="13331" width="6.28515625" style="1" bestFit="1" customWidth="1"/>
    <col min="13332" max="13332" width="7.140625" style="1" bestFit="1" customWidth="1"/>
    <col min="13333" max="13334" width="5.5703125" style="1" bestFit="1" customWidth="1"/>
    <col min="13335" max="13336" width="6.28515625" style="1" customWidth="1"/>
    <col min="13337" max="13337" width="7.7109375" style="1" customWidth="1"/>
    <col min="13338" max="13569" width="9.140625" style="1"/>
    <col min="13570" max="13570" width="4.7109375" style="1" customWidth="1"/>
    <col min="13571" max="13571" width="16.28515625" style="1" customWidth="1"/>
    <col min="13572" max="13572" width="9.7109375" style="1" customWidth="1"/>
    <col min="13573" max="13574" width="5.5703125" style="1" bestFit="1" customWidth="1"/>
    <col min="13575" max="13575" width="6.5703125" style="1" bestFit="1" customWidth="1"/>
    <col min="13576" max="13576" width="6.85546875" style="1" bestFit="1" customWidth="1"/>
    <col min="13577" max="13577" width="7.140625" style="1" bestFit="1" customWidth="1"/>
    <col min="13578" max="13578" width="7" style="1" bestFit="1" customWidth="1"/>
    <col min="13579" max="13579" width="9" style="1" bestFit="1" customWidth="1"/>
    <col min="13580" max="13580" width="8.85546875" style="1" bestFit="1" customWidth="1"/>
    <col min="13581" max="13581" width="8" style="1" bestFit="1" customWidth="1"/>
    <col min="13582" max="13583" width="5.85546875" style="1" customWidth="1"/>
    <col min="13584" max="13585" width="7.28515625" style="1" customWidth="1"/>
    <col min="13586" max="13586" width="7.42578125" style="1" customWidth="1"/>
    <col min="13587" max="13587" width="6.28515625" style="1" bestFit="1" customWidth="1"/>
    <col min="13588" max="13588" width="7.140625" style="1" bestFit="1" customWidth="1"/>
    <col min="13589" max="13590" width="5.5703125" style="1" bestFit="1" customWidth="1"/>
    <col min="13591" max="13592" width="6.28515625" style="1" customWidth="1"/>
    <col min="13593" max="13593" width="7.7109375" style="1" customWidth="1"/>
    <col min="13594" max="13825" width="9.140625" style="1"/>
    <col min="13826" max="13826" width="4.7109375" style="1" customWidth="1"/>
    <col min="13827" max="13827" width="16.28515625" style="1" customWidth="1"/>
    <col min="13828" max="13828" width="9.7109375" style="1" customWidth="1"/>
    <col min="13829" max="13830" width="5.5703125" style="1" bestFit="1" customWidth="1"/>
    <col min="13831" max="13831" width="6.5703125" style="1" bestFit="1" customWidth="1"/>
    <col min="13832" max="13832" width="6.85546875" style="1" bestFit="1" customWidth="1"/>
    <col min="13833" max="13833" width="7.140625" style="1" bestFit="1" customWidth="1"/>
    <col min="13834" max="13834" width="7" style="1" bestFit="1" customWidth="1"/>
    <col min="13835" max="13835" width="9" style="1" bestFit="1" customWidth="1"/>
    <col min="13836" max="13836" width="8.85546875" style="1" bestFit="1" customWidth="1"/>
    <col min="13837" max="13837" width="8" style="1" bestFit="1" customWidth="1"/>
    <col min="13838" max="13839" width="5.85546875" style="1" customWidth="1"/>
    <col min="13840" max="13841" width="7.28515625" style="1" customWidth="1"/>
    <col min="13842" max="13842" width="7.42578125" style="1" customWidth="1"/>
    <col min="13843" max="13843" width="6.28515625" style="1" bestFit="1" customWidth="1"/>
    <col min="13844" max="13844" width="7.140625" style="1" bestFit="1" customWidth="1"/>
    <col min="13845" max="13846" width="5.5703125" style="1" bestFit="1" customWidth="1"/>
    <col min="13847" max="13848" width="6.28515625" style="1" customWidth="1"/>
    <col min="13849" max="13849" width="7.7109375" style="1" customWidth="1"/>
    <col min="13850" max="14081" width="9.140625" style="1"/>
    <col min="14082" max="14082" width="4.7109375" style="1" customWidth="1"/>
    <col min="14083" max="14083" width="16.28515625" style="1" customWidth="1"/>
    <col min="14084" max="14084" width="9.7109375" style="1" customWidth="1"/>
    <col min="14085" max="14086" width="5.5703125" style="1" bestFit="1" customWidth="1"/>
    <col min="14087" max="14087" width="6.5703125" style="1" bestFit="1" customWidth="1"/>
    <col min="14088" max="14088" width="6.85546875" style="1" bestFit="1" customWidth="1"/>
    <col min="14089" max="14089" width="7.140625" style="1" bestFit="1" customWidth="1"/>
    <col min="14090" max="14090" width="7" style="1" bestFit="1" customWidth="1"/>
    <col min="14091" max="14091" width="9" style="1" bestFit="1" customWidth="1"/>
    <col min="14092" max="14092" width="8.85546875" style="1" bestFit="1" customWidth="1"/>
    <col min="14093" max="14093" width="8" style="1" bestFit="1" customWidth="1"/>
    <col min="14094" max="14095" width="5.85546875" style="1" customWidth="1"/>
    <col min="14096" max="14097" width="7.28515625" style="1" customWidth="1"/>
    <col min="14098" max="14098" width="7.42578125" style="1" customWidth="1"/>
    <col min="14099" max="14099" width="6.28515625" style="1" bestFit="1" customWidth="1"/>
    <col min="14100" max="14100" width="7.140625" style="1" bestFit="1" customWidth="1"/>
    <col min="14101" max="14102" width="5.5703125" style="1" bestFit="1" customWidth="1"/>
    <col min="14103" max="14104" width="6.28515625" style="1" customWidth="1"/>
    <col min="14105" max="14105" width="7.7109375" style="1" customWidth="1"/>
    <col min="14106" max="14337" width="9.140625" style="1"/>
    <col min="14338" max="14338" width="4.7109375" style="1" customWidth="1"/>
    <col min="14339" max="14339" width="16.28515625" style="1" customWidth="1"/>
    <col min="14340" max="14340" width="9.7109375" style="1" customWidth="1"/>
    <col min="14341" max="14342" width="5.5703125" style="1" bestFit="1" customWidth="1"/>
    <col min="14343" max="14343" width="6.5703125" style="1" bestFit="1" customWidth="1"/>
    <col min="14344" max="14344" width="6.85546875" style="1" bestFit="1" customWidth="1"/>
    <col min="14345" max="14345" width="7.140625" style="1" bestFit="1" customWidth="1"/>
    <col min="14346" max="14346" width="7" style="1" bestFit="1" customWidth="1"/>
    <col min="14347" max="14347" width="9" style="1" bestFit="1" customWidth="1"/>
    <col min="14348" max="14348" width="8.85546875" style="1" bestFit="1" customWidth="1"/>
    <col min="14349" max="14349" width="8" style="1" bestFit="1" customWidth="1"/>
    <col min="14350" max="14351" width="5.85546875" style="1" customWidth="1"/>
    <col min="14352" max="14353" width="7.28515625" style="1" customWidth="1"/>
    <col min="14354" max="14354" width="7.42578125" style="1" customWidth="1"/>
    <col min="14355" max="14355" width="6.28515625" style="1" bestFit="1" customWidth="1"/>
    <col min="14356" max="14356" width="7.140625" style="1" bestFit="1" customWidth="1"/>
    <col min="14357" max="14358" width="5.5703125" style="1" bestFit="1" customWidth="1"/>
    <col min="14359" max="14360" width="6.28515625" style="1" customWidth="1"/>
    <col min="14361" max="14361" width="7.7109375" style="1" customWidth="1"/>
    <col min="14362" max="14593" width="9.140625" style="1"/>
    <col min="14594" max="14594" width="4.7109375" style="1" customWidth="1"/>
    <col min="14595" max="14595" width="16.28515625" style="1" customWidth="1"/>
    <col min="14596" max="14596" width="9.7109375" style="1" customWidth="1"/>
    <col min="14597" max="14598" width="5.5703125" style="1" bestFit="1" customWidth="1"/>
    <col min="14599" max="14599" width="6.5703125" style="1" bestFit="1" customWidth="1"/>
    <col min="14600" max="14600" width="6.85546875" style="1" bestFit="1" customWidth="1"/>
    <col min="14601" max="14601" width="7.140625" style="1" bestFit="1" customWidth="1"/>
    <col min="14602" max="14602" width="7" style="1" bestFit="1" customWidth="1"/>
    <col min="14603" max="14603" width="9" style="1" bestFit="1" customWidth="1"/>
    <col min="14604" max="14604" width="8.85546875" style="1" bestFit="1" customWidth="1"/>
    <col min="14605" max="14605" width="8" style="1" bestFit="1" customWidth="1"/>
    <col min="14606" max="14607" width="5.85546875" style="1" customWidth="1"/>
    <col min="14608" max="14609" width="7.28515625" style="1" customWidth="1"/>
    <col min="14610" max="14610" width="7.42578125" style="1" customWidth="1"/>
    <col min="14611" max="14611" width="6.28515625" style="1" bestFit="1" customWidth="1"/>
    <col min="14612" max="14612" width="7.140625" style="1" bestFit="1" customWidth="1"/>
    <col min="14613" max="14614" width="5.5703125" style="1" bestFit="1" customWidth="1"/>
    <col min="14615" max="14616" width="6.28515625" style="1" customWidth="1"/>
    <col min="14617" max="14617" width="7.7109375" style="1" customWidth="1"/>
    <col min="14618" max="14849" width="9.140625" style="1"/>
    <col min="14850" max="14850" width="4.7109375" style="1" customWidth="1"/>
    <col min="14851" max="14851" width="16.28515625" style="1" customWidth="1"/>
    <col min="14852" max="14852" width="9.7109375" style="1" customWidth="1"/>
    <col min="14853" max="14854" width="5.5703125" style="1" bestFit="1" customWidth="1"/>
    <col min="14855" max="14855" width="6.5703125" style="1" bestFit="1" customWidth="1"/>
    <col min="14856" max="14856" width="6.85546875" style="1" bestFit="1" customWidth="1"/>
    <col min="14857" max="14857" width="7.140625" style="1" bestFit="1" customWidth="1"/>
    <col min="14858" max="14858" width="7" style="1" bestFit="1" customWidth="1"/>
    <col min="14859" max="14859" width="9" style="1" bestFit="1" customWidth="1"/>
    <col min="14860" max="14860" width="8.85546875" style="1" bestFit="1" customWidth="1"/>
    <col min="14861" max="14861" width="8" style="1" bestFit="1" customWidth="1"/>
    <col min="14862" max="14863" width="5.85546875" style="1" customWidth="1"/>
    <col min="14864" max="14865" width="7.28515625" style="1" customWidth="1"/>
    <col min="14866" max="14866" width="7.42578125" style="1" customWidth="1"/>
    <col min="14867" max="14867" width="6.28515625" style="1" bestFit="1" customWidth="1"/>
    <col min="14868" max="14868" width="7.140625" style="1" bestFit="1" customWidth="1"/>
    <col min="14869" max="14870" width="5.5703125" style="1" bestFit="1" customWidth="1"/>
    <col min="14871" max="14872" width="6.28515625" style="1" customWidth="1"/>
    <col min="14873" max="14873" width="7.7109375" style="1" customWidth="1"/>
    <col min="14874" max="15105" width="9.140625" style="1"/>
    <col min="15106" max="15106" width="4.7109375" style="1" customWidth="1"/>
    <col min="15107" max="15107" width="16.28515625" style="1" customWidth="1"/>
    <col min="15108" max="15108" width="9.7109375" style="1" customWidth="1"/>
    <col min="15109" max="15110" width="5.5703125" style="1" bestFit="1" customWidth="1"/>
    <col min="15111" max="15111" width="6.5703125" style="1" bestFit="1" customWidth="1"/>
    <col min="15112" max="15112" width="6.85546875" style="1" bestFit="1" customWidth="1"/>
    <col min="15113" max="15113" width="7.140625" style="1" bestFit="1" customWidth="1"/>
    <col min="15114" max="15114" width="7" style="1" bestFit="1" customWidth="1"/>
    <col min="15115" max="15115" width="9" style="1" bestFit="1" customWidth="1"/>
    <col min="15116" max="15116" width="8.85546875" style="1" bestFit="1" customWidth="1"/>
    <col min="15117" max="15117" width="8" style="1" bestFit="1" customWidth="1"/>
    <col min="15118" max="15119" width="5.85546875" style="1" customWidth="1"/>
    <col min="15120" max="15121" width="7.28515625" style="1" customWidth="1"/>
    <col min="15122" max="15122" width="7.42578125" style="1" customWidth="1"/>
    <col min="15123" max="15123" width="6.28515625" style="1" bestFit="1" customWidth="1"/>
    <col min="15124" max="15124" width="7.140625" style="1" bestFit="1" customWidth="1"/>
    <col min="15125" max="15126" width="5.5703125" style="1" bestFit="1" customWidth="1"/>
    <col min="15127" max="15128" width="6.28515625" style="1" customWidth="1"/>
    <col min="15129" max="15129" width="7.7109375" style="1" customWidth="1"/>
    <col min="15130" max="15361" width="9.140625" style="1"/>
    <col min="15362" max="15362" width="4.7109375" style="1" customWidth="1"/>
    <col min="15363" max="15363" width="16.28515625" style="1" customWidth="1"/>
    <col min="15364" max="15364" width="9.7109375" style="1" customWidth="1"/>
    <col min="15365" max="15366" width="5.5703125" style="1" bestFit="1" customWidth="1"/>
    <col min="15367" max="15367" width="6.5703125" style="1" bestFit="1" customWidth="1"/>
    <col min="15368" max="15368" width="6.85546875" style="1" bestFit="1" customWidth="1"/>
    <col min="15369" max="15369" width="7.140625" style="1" bestFit="1" customWidth="1"/>
    <col min="15370" max="15370" width="7" style="1" bestFit="1" customWidth="1"/>
    <col min="15371" max="15371" width="9" style="1" bestFit="1" customWidth="1"/>
    <col min="15372" max="15372" width="8.85546875" style="1" bestFit="1" customWidth="1"/>
    <col min="15373" max="15373" width="8" style="1" bestFit="1" customWidth="1"/>
    <col min="15374" max="15375" width="5.85546875" style="1" customWidth="1"/>
    <col min="15376" max="15377" width="7.28515625" style="1" customWidth="1"/>
    <col min="15378" max="15378" width="7.42578125" style="1" customWidth="1"/>
    <col min="15379" max="15379" width="6.28515625" style="1" bestFit="1" customWidth="1"/>
    <col min="15380" max="15380" width="7.140625" style="1" bestFit="1" customWidth="1"/>
    <col min="15381" max="15382" width="5.5703125" style="1" bestFit="1" customWidth="1"/>
    <col min="15383" max="15384" width="6.28515625" style="1" customWidth="1"/>
    <col min="15385" max="15385" width="7.7109375" style="1" customWidth="1"/>
    <col min="15386" max="15617" width="9.140625" style="1"/>
    <col min="15618" max="15618" width="4.7109375" style="1" customWidth="1"/>
    <col min="15619" max="15619" width="16.28515625" style="1" customWidth="1"/>
    <col min="15620" max="15620" width="9.7109375" style="1" customWidth="1"/>
    <col min="15621" max="15622" width="5.5703125" style="1" bestFit="1" customWidth="1"/>
    <col min="15623" max="15623" width="6.5703125" style="1" bestFit="1" customWidth="1"/>
    <col min="15624" max="15624" width="6.85546875" style="1" bestFit="1" customWidth="1"/>
    <col min="15625" max="15625" width="7.140625" style="1" bestFit="1" customWidth="1"/>
    <col min="15626" max="15626" width="7" style="1" bestFit="1" customWidth="1"/>
    <col min="15627" max="15627" width="9" style="1" bestFit="1" customWidth="1"/>
    <col min="15628" max="15628" width="8.85546875" style="1" bestFit="1" customWidth="1"/>
    <col min="15629" max="15629" width="8" style="1" bestFit="1" customWidth="1"/>
    <col min="15630" max="15631" width="5.85546875" style="1" customWidth="1"/>
    <col min="15632" max="15633" width="7.28515625" style="1" customWidth="1"/>
    <col min="15634" max="15634" width="7.42578125" style="1" customWidth="1"/>
    <col min="15635" max="15635" width="6.28515625" style="1" bestFit="1" customWidth="1"/>
    <col min="15636" max="15636" width="7.140625" style="1" bestFit="1" customWidth="1"/>
    <col min="15637" max="15638" width="5.5703125" style="1" bestFit="1" customWidth="1"/>
    <col min="15639" max="15640" width="6.28515625" style="1" customWidth="1"/>
    <col min="15641" max="15641" width="7.7109375" style="1" customWidth="1"/>
    <col min="15642" max="15873" width="9.140625" style="1"/>
    <col min="15874" max="15874" width="4.7109375" style="1" customWidth="1"/>
    <col min="15875" max="15875" width="16.28515625" style="1" customWidth="1"/>
    <col min="15876" max="15876" width="9.7109375" style="1" customWidth="1"/>
    <col min="15877" max="15878" width="5.5703125" style="1" bestFit="1" customWidth="1"/>
    <col min="15879" max="15879" width="6.5703125" style="1" bestFit="1" customWidth="1"/>
    <col min="15880" max="15880" width="6.85546875" style="1" bestFit="1" customWidth="1"/>
    <col min="15881" max="15881" width="7.140625" style="1" bestFit="1" customWidth="1"/>
    <col min="15882" max="15882" width="7" style="1" bestFit="1" customWidth="1"/>
    <col min="15883" max="15883" width="9" style="1" bestFit="1" customWidth="1"/>
    <col min="15884" max="15884" width="8.85546875" style="1" bestFit="1" customWidth="1"/>
    <col min="15885" max="15885" width="8" style="1" bestFit="1" customWidth="1"/>
    <col min="15886" max="15887" width="5.85546875" style="1" customWidth="1"/>
    <col min="15888" max="15889" width="7.28515625" style="1" customWidth="1"/>
    <col min="15890" max="15890" width="7.42578125" style="1" customWidth="1"/>
    <col min="15891" max="15891" width="6.28515625" style="1" bestFit="1" customWidth="1"/>
    <col min="15892" max="15892" width="7.140625" style="1" bestFit="1" customWidth="1"/>
    <col min="15893" max="15894" width="5.5703125" style="1" bestFit="1" customWidth="1"/>
    <col min="15895" max="15896" width="6.28515625" style="1" customWidth="1"/>
    <col min="15897" max="15897" width="7.7109375" style="1" customWidth="1"/>
    <col min="15898" max="16129" width="9.140625" style="1"/>
    <col min="16130" max="16130" width="4.7109375" style="1" customWidth="1"/>
    <col min="16131" max="16131" width="16.28515625" style="1" customWidth="1"/>
    <col min="16132" max="16132" width="9.7109375" style="1" customWidth="1"/>
    <col min="16133" max="16134" width="5.5703125" style="1" bestFit="1" customWidth="1"/>
    <col min="16135" max="16135" width="6.5703125" style="1" bestFit="1" customWidth="1"/>
    <col min="16136" max="16136" width="6.85546875" style="1" bestFit="1" customWidth="1"/>
    <col min="16137" max="16137" width="7.140625" style="1" bestFit="1" customWidth="1"/>
    <col min="16138" max="16138" width="7" style="1" bestFit="1" customWidth="1"/>
    <col min="16139" max="16139" width="9" style="1" bestFit="1" customWidth="1"/>
    <col min="16140" max="16140" width="8.85546875" style="1" bestFit="1" customWidth="1"/>
    <col min="16141" max="16141" width="8" style="1" bestFit="1" customWidth="1"/>
    <col min="16142" max="16143" width="5.85546875" style="1" customWidth="1"/>
    <col min="16144" max="16145" width="7.28515625" style="1" customWidth="1"/>
    <col min="16146" max="16146" width="7.42578125" style="1" customWidth="1"/>
    <col min="16147" max="16147" width="6.28515625" style="1" bestFit="1" customWidth="1"/>
    <col min="16148" max="16148" width="7.140625" style="1" bestFit="1" customWidth="1"/>
    <col min="16149" max="16150" width="5.5703125" style="1" bestFit="1" customWidth="1"/>
    <col min="16151" max="16152" width="6.28515625" style="1" customWidth="1"/>
    <col min="16153" max="16153" width="7.7109375" style="1" customWidth="1"/>
    <col min="16154" max="16384" width="9.140625" style="1"/>
  </cols>
  <sheetData>
    <row r="1" spans="1:25">
      <c r="A1" s="61"/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723" t="s">
        <v>848</v>
      </c>
      <c r="X1" s="1723"/>
      <c r="Y1" s="1723"/>
    </row>
    <row r="2" spans="1:25" ht="39.75" customHeight="1">
      <c r="A2" s="1724" t="s">
        <v>1639</v>
      </c>
      <c r="B2" s="1725"/>
      <c r="C2" s="1725"/>
      <c r="D2" s="1725"/>
      <c r="E2" s="1725"/>
      <c r="F2" s="1725"/>
      <c r="G2" s="1725"/>
      <c r="H2" s="1725"/>
      <c r="I2" s="1725"/>
      <c r="J2" s="1725"/>
      <c r="K2" s="1725"/>
      <c r="L2" s="1725"/>
      <c r="M2" s="1725"/>
      <c r="N2" s="1725"/>
      <c r="O2" s="1725"/>
      <c r="P2" s="1725"/>
      <c r="Q2" s="1725"/>
      <c r="R2" s="1725"/>
      <c r="S2" s="1725"/>
      <c r="T2" s="1725"/>
      <c r="U2" s="1725"/>
      <c r="V2" s="1725"/>
      <c r="W2" s="1725"/>
      <c r="X2" s="1725"/>
      <c r="Y2" s="1725"/>
    </row>
    <row r="3" spans="1:25" ht="15.75">
      <c r="A3" s="63"/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2"/>
      <c r="X3" s="62"/>
      <c r="Y3" s="26"/>
    </row>
    <row r="4" spans="1:25" ht="15.75">
      <c r="A4" s="1726" t="s">
        <v>1621</v>
      </c>
      <c r="B4" s="1726"/>
      <c r="C4" s="1726"/>
      <c r="D4" s="1726"/>
      <c r="E4" s="1726"/>
      <c r="F4" s="1726"/>
      <c r="G4" s="1726"/>
      <c r="H4" s="1726"/>
      <c r="I4" s="1726"/>
      <c r="J4" s="1726"/>
      <c r="K4" s="1726"/>
      <c r="L4" s="1726"/>
      <c r="M4" s="1726"/>
      <c r="N4" s="1726"/>
      <c r="O4" s="1726"/>
      <c r="P4" s="1726"/>
      <c r="Q4" s="1726"/>
      <c r="R4" s="1726"/>
      <c r="S4" s="1726"/>
      <c r="T4" s="1726"/>
      <c r="U4" s="1726"/>
      <c r="V4" s="1726"/>
      <c r="W4" s="1726"/>
      <c r="X4" s="1726"/>
      <c r="Y4" s="1726"/>
    </row>
    <row r="5" spans="1:25" ht="12.75" customHeight="1">
      <c r="A5" s="66"/>
      <c r="B5" s="66"/>
      <c r="C5" s="1034"/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727" t="s">
        <v>1187</v>
      </c>
      <c r="Y5" s="1727"/>
    </row>
    <row r="6" spans="1:25" s="73" customFormat="1" ht="24" customHeight="1">
      <c r="A6" s="67" t="s">
        <v>310</v>
      </c>
      <c r="B6" s="68" t="s">
        <v>311</v>
      </c>
      <c r="C6" s="69" t="s">
        <v>312</v>
      </c>
      <c r="D6" s="69" t="s">
        <v>313</v>
      </c>
      <c r="E6" s="69" t="s">
        <v>314</v>
      </c>
      <c r="F6" s="69" t="s">
        <v>315</v>
      </c>
      <c r="G6" s="69" t="s">
        <v>316</v>
      </c>
      <c r="H6" s="69" t="s">
        <v>317</v>
      </c>
      <c r="I6" s="69" t="s">
        <v>147</v>
      </c>
      <c r="J6" s="69" t="s">
        <v>318</v>
      </c>
      <c r="K6" s="69" t="s">
        <v>319</v>
      </c>
      <c r="L6" s="69" t="s">
        <v>320</v>
      </c>
      <c r="M6" s="1728" t="s">
        <v>849</v>
      </c>
      <c r="N6" s="68" t="s">
        <v>689</v>
      </c>
      <c r="O6" s="68" t="s">
        <v>689</v>
      </c>
      <c r="P6" s="68" t="s">
        <v>689</v>
      </c>
      <c r="Q6" s="68" t="s">
        <v>995</v>
      </c>
      <c r="R6" s="70" t="s">
        <v>321</v>
      </c>
      <c r="S6" s="69" t="s">
        <v>322</v>
      </c>
      <c r="T6" s="69" t="s">
        <v>1622</v>
      </c>
      <c r="U6" s="69" t="s">
        <v>1423</v>
      </c>
      <c r="V6" s="69" t="s">
        <v>1623</v>
      </c>
      <c r="W6" s="71" t="s">
        <v>324</v>
      </c>
      <c r="X6" s="71" t="s">
        <v>325</v>
      </c>
      <c r="Y6" s="72" t="s">
        <v>294</v>
      </c>
    </row>
    <row r="7" spans="1:25" s="73" customFormat="1">
      <c r="A7" s="74" t="s">
        <v>326</v>
      </c>
      <c r="B7" s="75" t="s">
        <v>327</v>
      </c>
      <c r="C7" s="76"/>
      <c r="D7" s="76" t="s">
        <v>328</v>
      </c>
      <c r="E7" s="76" t="s">
        <v>329</v>
      </c>
      <c r="F7" s="76" t="s">
        <v>329</v>
      </c>
      <c r="G7" s="76" t="s">
        <v>330</v>
      </c>
      <c r="H7" s="76" t="s">
        <v>330</v>
      </c>
      <c r="I7" s="76" t="s">
        <v>330</v>
      </c>
      <c r="J7" s="76" t="s">
        <v>331</v>
      </c>
      <c r="K7" s="76" t="s">
        <v>332</v>
      </c>
      <c r="L7" s="76" t="s">
        <v>333</v>
      </c>
      <c r="M7" s="1729"/>
      <c r="N7" s="76" t="s">
        <v>334</v>
      </c>
      <c r="O7" s="76" t="s">
        <v>334</v>
      </c>
      <c r="P7" s="76" t="s">
        <v>334</v>
      </c>
      <c r="Q7" s="76" t="s">
        <v>334</v>
      </c>
      <c r="R7" s="76" t="s">
        <v>330</v>
      </c>
      <c r="S7" s="76" t="s">
        <v>330</v>
      </c>
      <c r="T7" s="76" t="s">
        <v>1624</v>
      </c>
      <c r="U7" s="76" t="s">
        <v>1625</v>
      </c>
      <c r="V7" s="76" t="s">
        <v>1626</v>
      </c>
      <c r="W7" s="77" t="s">
        <v>330</v>
      </c>
      <c r="X7" s="77" t="s">
        <v>335</v>
      </c>
      <c r="Y7" s="78"/>
    </row>
    <row r="8" spans="1:25" s="73" customFormat="1">
      <c r="A8" s="74"/>
      <c r="B8" s="75"/>
      <c r="C8" s="76"/>
      <c r="D8" s="76" t="s">
        <v>330</v>
      </c>
      <c r="E8" s="76"/>
      <c r="F8" s="76"/>
      <c r="G8" s="76"/>
      <c r="H8" s="76"/>
      <c r="I8" s="76"/>
      <c r="J8" s="76" t="s">
        <v>330</v>
      </c>
      <c r="K8" s="76" t="s">
        <v>330</v>
      </c>
      <c r="L8" s="76"/>
      <c r="M8" s="1729"/>
      <c r="N8" s="79" t="s">
        <v>329</v>
      </c>
      <c r="O8" s="79" t="s">
        <v>329</v>
      </c>
      <c r="P8" s="79" t="s">
        <v>329</v>
      </c>
      <c r="Q8" s="79" t="s">
        <v>329</v>
      </c>
      <c r="R8" s="80" t="s">
        <v>159</v>
      </c>
      <c r="S8" s="76"/>
      <c r="T8" s="76"/>
      <c r="U8" s="76" t="s">
        <v>159</v>
      </c>
      <c r="V8" s="76"/>
      <c r="W8" s="77" t="s">
        <v>1627</v>
      </c>
      <c r="X8" s="77" t="s">
        <v>330</v>
      </c>
      <c r="Y8" s="78"/>
    </row>
    <row r="9" spans="1:25" s="73" customFormat="1">
      <c r="A9" s="81"/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178">
        <v>2013</v>
      </c>
      <c r="N9" s="178">
        <v>2016</v>
      </c>
      <c r="O9" s="178">
        <v>2017</v>
      </c>
      <c r="P9" s="178">
        <v>2018</v>
      </c>
      <c r="Q9" s="178">
        <v>2019</v>
      </c>
      <c r="R9" s="83"/>
      <c r="S9" s="83"/>
      <c r="T9" s="83"/>
      <c r="U9" s="83"/>
      <c r="V9" s="83"/>
      <c r="W9" s="84" t="s">
        <v>1628</v>
      </c>
      <c r="X9" s="84"/>
      <c r="Y9" s="85"/>
    </row>
    <row r="10" spans="1:25">
      <c r="A10" s="86">
        <v>1</v>
      </c>
      <c r="B10" s="87">
        <v>2</v>
      </c>
      <c r="C10" s="88">
        <v>3</v>
      </c>
      <c r="D10" s="88">
        <v>4</v>
      </c>
      <c r="E10" s="88">
        <v>5</v>
      </c>
      <c r="F10" s="88">
        <v>6</v>
      </c>
      <c r="G10" s="88">
        <v>7</v>
      </c>
      <c r="H10" s="88">
        <v>8</v>
      </c>
      <c r="I10" s="88">
        <v>9</v>
      </c>
      <c r="J10" s="88">
        <v>10</v>
      </c>
      <c r="K10" s="88">
        <v>11</v>
      </c>
      <c r="L10" s="88">
        <v>12</v>
      </c>
      <c r="M10" s="88">
        <v>13</v>
      </c>
      <c r="N10" s="88">
        <v>14</v>
      </c>
      <c r="O10" s="88">
        <v>15</v>
      </c>
      <c r="P10" s="88">
        <v>16</v>
      </c>
      <c r="Q10" s="88">
        <v>17</v>
      </c>
      <c r="R10" s="88">
        <v>18</v>
      </c>
      <c r="S10" s="88">
        <v>19</v>
      </c>
      <c r="T10" s="88">
        <v>20</v>
      </c>
      <c r="U10" s="88">
        <v>21</v>
      </c>
      <c r="V10" s="88">
        <v>22</v>
      </c>
      <c r="W10" s="88">
        <v>23</v>
      </c>
      <c r="X10" s="88">
        <v>24</v>
      </c>
      <c r="Y10" s="89"/>
    </row>
    <row r="11" spans="1:25" s="336" customFormat="1" ht="18" customHeight="1">
      <c r="A11" s="1720" t="s">
        <v>336</v>
      </c>
      <c r="B11" s="1721"/>
      <c r="C11" s="1721"/>
      <c r="D11" s="1721"/>
      <c r="E11" s="1721"/>
      <c r="F11" s="1721"/>
      <c r="G11" s="1721"/>
      <c r="H11" s="1721"/>
      <c r="I11" s="1721"/>
      <c r="J11" s="1721"/>
      <c r="K11" s="1721"/>
      <c r="L11" s="1721"/>
      <c r="M11" s="1721"/>
      <c r="N11" s="1721"/>
      <c r="O11" s="1721"/>
      <c r="P11" s="1721"/>
      <c r="Q11" s="1721"/>
      <c r="R11" s="1721"/>
      <c r="S11" s="1721"/>
      <c r="T11" s="1721"/>
      <c r="U11" s="1721"/>
      <c r="V11" s="1721"/>
      <c r="W11" s="1721"/>
      <c r="X11" s="1721"/>
      <c r="Y11" s="1722"/>
    </row>
    <row r="12" spans="1:25" s="336" customFormat="1" ht="18" customHeight="1">
      <c r="A12" s="337"/>
      <c r="B12" s="338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90"/>
    </row>
    <row r="13" spans="1:25" s="336" customFormat="1" ht="18" customHeight="1">
      <c r="A13" s="337"/>
      <c r="B13" s="338" t="s">
        <v>1424</v>
      </c>
      <c r="C13" s="1049">
        <v>8910840</v>
      </c>
      <c r="D13" s="1049">
        <v>32850</v>
      </c>
      <c r="E13" s="1049">
        <v>25200</v>
      </c>
      <c r="F13" s="1049">
        <v>294000</v>
      </c>
      <c r="G13" s="1049">
        <v>1999158</v>
      </c>
      <c r="H13" s="1049">
        <v>810000</v>
      </c>
      <c r="I13" s="1049">
        <v>324480</v>
      </c>
      <c r="J13" s="1049">
        <v>300000</v>
      </c>
      <c r="K13" s="1049"/>
      <c r="L13" s="1049"/>
      <c r="M13" s="1049"/>
      <c r="N13" s="1049">
        <v>221361</v>
      </c>
      <c r="O13" s="1049">
        <v>877773</v>
      </c>
      <c r="P13" s="1049">
        <f>+O13</f>
        <v>877773</v>
      </c>
      <c r="Q13" s="1049">
        <v>763956</v>
      </c>
      <c r="R13" s="1049"/>
      <c r="S13" s="1049"/>
      <c r="T13" s="1049"/>
      <c r="U13" s="1049"/>
      <c r="V13" s="1049"/>
      <c r="W13" s="1049"/>
      <c r="X13" s="1049"/>
      <c r="Y13" s="1050">
        <f>SUM(C13:X13)</f>
        <v>15437391</v>
      </c>
    </row>
    <row r="14" spans="1:25" s="336" customFormat="1" ht="18" customHeight="1">
      <c r="A14" s="337"/>
      <c r="B14" s="338" t="s">
        <v>1425</v>
      </c>
      <c r="C14" s="1049">
        <v>306837030</v>
      </c>
      <c r="D14" s="1049">
        <v>129750</v>
      </c>
      <c r="E14" s="1049">
        <v>111900</v>
      </c>
      <c r="F14" s="1049">
        <v>1386000</v>
      </c>
      <c r="G14" s="1049">
        <v>111352524</v>
      </c>
      <c r="H14" s="1049">
        <v>33101199</v>
      </c>
      <c r="I14" s="1049">
        <v>81976977</v>
      </c>
      <c r="J14" s="1049">
        <v>1110000</v>
      </c>
      <c r="K14" s="1049"/>
      <c r="L14" s="1049">
        <v>234000</v>
      </c>
      <c r="M14" s="1049"/>
      <c r="N14" s="1049">
        <v>22114893</v>
      </c>
      <c r="O14" s="1049">
        <v>30081795</v>
      </c>
      <c r="P14" s="1049">
        <f>+O14</f>
        <v>30081795</v>
      </c>
      <c r="Q14" s="1049">
        <v>29313744</v>
      </c>
      <c r="R14" s="1049">
        <v>3317850</v>
      </c>
      <c r="S14" s="1049"/>
      <c r="T14" s="1049">
        <v>405000</v>
      </c>
      <c r="U14" s="1049"/>
      <c r="V14" s="1049"/>
      <c r="W14" s="1049">
        <v>1417800</v>
      </c>
      <c r="X14" s="1049"/>
      <c r="Y14" s="1050">
        <f>SUM(C14:X14)</f>
        <v>652972257</v>
      </c>
    </row>
    <row r="15" spans="1:25" s="336" customFormat="1" ht="18" customHeight="1">
      <c r="A15" s="340"/>
      <c r="B15" s="341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91"/>
    </row>
    <row r="16" spans="1:25" s="15" customFormat="1" ht="18" customHeight="1">
      <c r="A16" s="1730" t="s">
        <v>136</v>
      </c>
      <c r="B16" s="1731"/>
      <c r="C16" s="1051">
        <f>SUM(C13:C14)</f>
        <v>315747870</v>
      </c>
      <c r="D16" s="1051">
        <f t="shared" ref="D16:Y16" si="0">SUM(D13:D14)</f>
        <v>162600</v>
      </c>
      <c r="E16" s="1051">
        <f t="shared" si="0"/>
        <v>137100</v>
      </c>
      <c r="F16" s="1051">
        <f t="shared" si="0"/>
        <v>1680000</v>
      </c>
      <c r="G16" s="1051">
        <f t="shared" si="0"/>
        <v>113351682</v>
      </c>
      <c r="H16" s="1051">
        <f t="shared" si="0"/>
        <v>33911199</v>
      </c>
      <c r="I16" s="1051">
        <f t="shared" si="0"/>
        <v>82301457</v>
      </c>
      <c r="J16" s="1051">
        <f t="shared" si="0"/>
        <v>1410000</v>
      </c>
      <c r="K16" s="1051">
        <f t="shared" si="0"/>
        <v>0</v>
      </c>
      <c r="L16" s="1051">
        <f t="shared" si="0"/>
        <v>234000</v>
      </c>
      <c r="M16" s="1051">
        <f t="shared" si="0"/>
        <v>0</v>
      </c>
      <c r="N16" s="1051">
        <f t="shared" si="0"/>
        <v>22336254</v>
      </c>
      <c r="O16" s="1051">
        <f t="shared" si="0"/>
        <v>30959568</v>
      </c>
      <c r="P16" s="1051">
        <f t="shared" si="0"/>
        <v>30959568</v>
      </c>
      <c r="Q16" s="1051">
        <f t="shared" si="0"/>
        <v>30077700</v>
      </c>
      <c r="R16" s="1051">
        <f t="shared" si="0"/>
        <v>3317850</v>
      </c>
      <c r="S16" s="1051">
        <f t="shared" si="0"/>
        <v>0</v>
      </c>
      <c r="T16" s="1051">
        <f t="shared" si="0"/>
        <v>405000</v>
      </c>
      <c r="U16" s="1051">
        <f t="shared" si="0"/>
        <v>0</v>
      </c>
      <c r="V16" s="1051">
        <f t="shared" si="0"/>
        <v>0</v>
      </c>
      <c r="W16" s="1051">
        <f t="shared" si="0"/>
        <v>1417800</v>
      </c>
      <c r="X16" s="1051">
        <f t="shared" si="0"/>
        <v>0</v>
      </c>
      <c r="Y16" s="1051">
        <f t="shared" si="0"/>
        <v>668409648</v>
      </c>
    </row>
    <row r="17" spans="1:25" s="336" customFormat="1" ht="18" customHeight="1">
      <c r="A17" s="1732" t="s">
        <v>1629</v>
      </c>
      <c r="B17" s="1733"/>
      <c r="C17" s="1733"/>
      <c r="D17" s="1733"/>
      <c r="E17" s="1733"/>
      <c r="F17" s="1733"/>
      <c r="G17" s="1733"/>
      <c r="H17" s="1733"/>
      <c r="I17" s="1733"/>
      <c r="J17" s="1733"/>
      <c r="K17" s="1733"/>
      <c r="L17" s="1733"/>
      <c r="M17" s="1733"/>
      <c r="N17" s="1733"/>
      <c r="O17" s="1733"/>
      <c r="P17" s="1733"/>
      <c r="Q17" s="1733"/>
      <c r="R17" s="1733"/>
      <c r="S17" s="1733"/>
      <c r="T17" s="1733"/>
      <c r="U17" s="1733"/>
      <c r="V17" s="1733"/>
      <c r="W17" s="1733"/>
      <c r="X17" s="1733"/>
      <c r="Y17" s="1734"/>
    </row>
    <row r="18" spans="1:25" s="15" customFormat="1" ht="30.75" customHeight="1">
      <c r="A18" s="1730" t="s">
        <v>1630</v>
      </c>
      <c r="B18" s="1731"/>
      <c r="C18" s="1052">
        <v>42124680</v>
      </c>
      <c r="D18" s="1052">
        <v>195000</v>
      </c>
      <c r="E18" s="1052">
        <v>156900</v>
      </c>
      <c r="F18" s="1052">
        <v>2160000</v>
      </c>
      <c r="G18" s="1052">
        <v>8886747</v>
      </c>
      <c r="H18" s="1052">
        <v>2085000</v>
      </c>
      <c r="I18" s="1052">
        <v>4168320</v>
      </c>
      <c r="J18" s="1052">
        <v>2160000</v>
      </c>
      <c r="K18" s="1052"/>
      <c r="L18" s="1052"/>
      <c r="M18" s="1052"/>
      <c r="N18" s="1052">
        <v>3100587</v>
      </c>
      <c r="O18" s="1052">
        <v>4120629</v>
      </c>
      <c r="P18" s="1052">
        <f>+O18</f>
        <v>4120629</v>
      </c>
      <c r="Q18" s="1052">
        <v>3264078</v>
      </c>
      <c r="R18" s="1052"/>
      <c r="S18" s="1052"/>
      <c r="T18" s="1052"/>
      <c r="U18" s="1052">
        <v>756000</v>
      </c>
      <c r="V18" s="1052"/>
      <c r="W18" s="1052">
        <v>264000</v>
      </c>
      <c r="X18" s="1052"/>
      <c r="Y18" s="1052">
        <f>SUM(C18:X18)</f>
        <v>77562570</v>
      </c>
    </row>
    <row r="19" spans="1:25" s="15" customFormat="1" ht="18" customHeight="1">
      <c r="A19" s="1730" t="s">
        <v>753</v>
      </c>
      <c r="B19" s="1731"/>
      <c r="C19" s="1052">
        <v>20082120</v>
      </c>
      <c r="D19" s="1052"/>
      <c r="E19" s="1052"/>
      <c r="F19" s="1052"/>
      <c r="G19" s="1052">
        <v>6711675</v>
      </c>
      <c r="H19" s="1052">
        <v>2357379</v>
      </c>
      <c r="I19" s="1052">
        <v>5149428</v>
      </c>
      <c r="J19" s="1052">
        <v>180000</v>
      </c>
      <c r="K19" s="1052"/>
      <c r="L19" s="1052">
        <v>27000</v>
      </c>
      <c r="M19" s="1052"/>
      <c r="N19" s="1052">
        <v>1474251</v>
      </c>
      <c r="O19" s="1052">
        <v>1965819</v>
      </c>
      <c r="P19" s="1052">
        <f>+O19</f>
        <v>1965819</v>
      </c>
      <c r="Q19" s="1052">
        <f>+P19</f>
        <v>1965819</v>
      </c>
      <c r="R19" s="1052">
        <v>93150</v>
      </c>
      <c r="S19" s="1052"/>
      <c r="T19" s="1052">
        <v>72000</v>
      </c>
      <c r="U19" s="1052"/>
      <c r="V19" s="1052"/>
      <c r="W19" s="1052"/>
      <c r="X19" s="1052"/>
      <c r="Y19" s="1052">
        <f>SUM(C19:X19)</f>
        <v>42044460</v>
      </c>
    </row>
    <row r="20" spans="1:25" s="15" customFormat="1" ht="30.75" customHeight="1">
      <c r="A20" s="1730" t="s">
        <v>337</v>
      </c>
      <c r="B20" s="1731"/>
      <c r="C20" s="1052">
        <f>SUM(C18:C19)</f>
        <v>62206800</v>
      </c>
      <c r="D20" s="1052">
        <f t="shared" ref="D20:Y20" si="1">SUM(D18:D19)</f>
        <v>195000</v>
      </c>
      <c r="E20" s="1052">
        <f t="shared" si="1"/>
        <v>156900</v>
      </c>
      <c r="F20" s="1052">
        <f t="shared" si="1"/>
        <v>2160000</v>
      </c>
      <c r="G20" s="1052">
        <f t="shared" si="1"/>
        <v>15598422</v>
      </c>
      <c r="H20" s="1052">
        <f t="shared" si="1"/>
        <v>4442379</v>
      </c>
      <c r="I20" s="1052">
        <f t="shared" si="1"/>
        <v>9317748</v>
      </c>
      <c r="J20" s="1052">
        <f t="shared" si="1"/>
        <v>2340000</v>
      </c>
      <c r="K20" s="1052">
        <f t="shared" si="1"/>
        <v>0</v>
      </c>
      <c r="L20" s="1052">
        <f t="shared" si="1"/>
        <v>27000</v>
      </c>
      <c r="M20" s="1052">
        <f t="shared" si="1"/>
        <v>0</v>
      </c>
      <c r="N20" s="1052">
        <f t="shared" si="1"/>
        <v>4574838</v>
      </c>
      <c r="O20" s="1052">
        <f t="shared" si="1"/>
        <v>6086448</v>
      </c>
      <c r="P20" s="1052">
        <f t="shared" si="1"/>
        <v>6086448</v>
      </c>
      <c r="Q20" s="1052">
        <f t="shared" si="1"/>
        <v>5229897</v>
      </c>
      <c r="R20" s="1052">
        <f t="shared" si="1"/>
        <v>93150</v>
      </c>
      <c r="S20" s="1052">
        <f t="shared" si="1"/>
        <v>0</v>
      </c>
      <c r="T20" s="1052">
        <f t="shared" si="1"/>
        <v>72000</v>
      </c>
      <c r="U20" s="1052">
        <f t="shared" si="1"/>
        <v>756000</v>
      </c>
      <c r="V20" s="1052">
        <f t="shared" si="1"/>
        <v>0</v>
      </c>
      <c r="W20" s="1052">
        <f t="shared" si="1"/>
        <v>264000</v>
      </c>
      <c r="X20" s="1052"/>
      <c r="Y20" s="1052">
        <f t="shared" si="1"/>
        <v>119607030</v>
      </c>
    </row>
    <row r="21" spans="1:25" s="336" customFormat="1" ht="18" customHeight="1">
      <c r="A21" s="1732" t="s">
        <v>1426</v>
      </c>
      <c r="B21" s="1733"/>
      <c r="C21" s="1733"/>
      <c r="D21" s="1733"/>
      <c r="E21" s="1733"/>
      <c r="F21" s="1733"/>
      <c r="G21" s="1733"/>
      <c r="H21" s="1733"/>
      <c r="I21" s="1733"/>
      <c r="J21" s="1733"/>
      <c r="K21" s="1733"/>
      <c r="L21" s="1733"/>
      <c r="M21" s="1733"/>
      <c r="N21" s="1733"/>
      <c r="O21" s="1733"/>
      <c r="P21" s="1733"/>
      <c r="Q21" s="1733"/>
      <c r="R21" s="1733"/>
      <c r="S21" s="1733"/>
      <c r="T21" s="1733"/>
      <c r="U21" s="1733"/>
      <c r="V21" s="1733"/>
      <c r="W21" s="1733"/>
      <c r="X21" s="1733"/>
      <c r="Y21" s="1734"/>
    </row>
    <row r="22" spans="1:25" s="336" customFormat="1" ht="18" customHeight="1">
      <c r="A22" s="1730" t="s">
        <v>1630</v>
      </c>
      <c r="B22" s="1731"/>
      <c r="C22" s="1052">
        <v>142021350</v>
      </c>
      <c r="D22" s="1052">
        <v>653250</v>
      </c>
      <c r="E22" s="1052">
        <v>662400</v>
      </c>
      <c r="F22" s="1052">
        <v>7158000</v>
      </c>
      <c r="G22" s="1052">
        <v>24428742</v>
      </c>
      <c r="H22" s="1052">
        <v>7890000</v>
      </c>
      <c r="I22" s="1052">
        <v>14426880</v>
      </c>
      <c r="J22" s="1052">
        <v>12360000</v>
      </c>
      <c r="K22" s="1052"/>
      <c r="L22" s="1052"/>
      <c r="M22" s="1052"/>
      <c r="N22" s="1052">
        <v>10284831</v>
      </c>
      <c r="O22" s="1052">
        <v>13876602</v>
      </c>
      <c r="P22" s="1052">
        <f>+O22</f>
        <v>13876602</v>
      </c>
      <c r="Q22" s="1052">
        <v>11125689</v>
      </c>
      <c r="R22" s="1052"/>
      <c r="S22" s="1052"/>
      <c r="T22" s="1052"/>
      <c r="U22" s="1052">
        <v>1404000</v>
      </c>
      <c r="V22" s="1052"/>
      <c r="W22" s="1052">
        <v>381000</v>
      </c>
      <c r="X22" s="1052"/>
      <c r="Y22" s="1052">
        <f>SUM(C22:X22)</f>
        <v>260549346</v>
      </c>
    </row>
    <row r="23" spans="1:25" s="336" customFormat="1" ht="18" customHeight="1">
      <c r="A23" s="1730" t="s">
        <v>753</v>
      </c>
      <c r="B23" s="1731"/>
      <c r="C23" s="1052">
        <v>48182520</v>
      </c>
      <c r="D23" s="1052"/>
      <c r="E23" s="1052"/>
      <c r="F23" s="1052"/>
      <c r="G23" s="1052">
        <v>15191412</v>
      </c>
      <c r="H23" s="1052">
        <v>5965443</v>
      </c>
      <c r="I23" s="1052">
        <v>12945387</v>
      </c>
      <c r="J23" s="1052">
        <v>30000</v>
      </c>
      <c r="K23" s="1052"/>
      <c r="L23" s="1052">
        <v>27000</v>
      </c>
      <c r="M23" s="1052"/>
      <c r="N23" s="1052">
        <v>3516819</v>
      </c>
      <c r="O23" s="1052">
        <v>4711392</v>
      </c>
      <c r="P23" s="1052">
        <f>+O23</f>
        <v>4711392</v>
      </c>
      <c r="Q23" s="1052">
        <f>+P23</f>
        <v>4711392</v>
      </c>
      <c r="R23" s="1052">
        <v>329400</v>
      </c>
      <c r="S23" s="1052"/>
      <c r="T23" s="1052">
        <v>36000</v>
      </c>
      <c r="U23" s="1052"/>
      <c r="V23" s="1052"/>
      <c r="W23" s="1052"/>
      <c r="X23" s="1052"/>
      <c r="Y23" s="1052">
        <f>SUM(C23:X23)</f>
        <v>100358157</v>
      </c>
    </row>
    <row r="24" spans="1:25" s="336" customFormat="1" ht="18" customHeight="1">
      <c r="A24" s="1730" t="s">
        <v>337</v>
      </c>
      <c r="B24" s="1731"/>
      <c r="C24" s="1052">
        <f>SUM(C22:C23)</f>
        <v>190203870</v>
      </c>
      <c r="D24" s="1052">
        <f t="shared" ref="D24:W24" si="2">SUM(D22:D23)</f>
        <v>653250</v>
      </c>
      <c r="E24" s="1052">
        <f t="shared" si="2"/>
        <v>662400</v>
      </c>
      <c r="F24" s="1052">
        <f t="shared" si="2"/>
        <v>7158000</v>
      </c>
      <c r="G24" s="1052">
        <f t="shared" si="2"/>
        <v>39620154</v>
      </c>
      <c r="H24" s="1052">
        <f t="shared" si="2"/>
        <v>13855443</v>
      </c>
      <c r="I24" s="1052">
        <f t="shared" si="2"/>
        <v>27372267</v>
      </c>
      <c r="J24" s="1052">
        <f t="shared" si="2"/>
        <v>12390000</v>
      </c>
      <c r="K24" s="1052">
        <f t="shared" si="2"/>
        <v>0</v>
      </c>
      <c r="L24" s="1052">
        <f t="shared" si="2"/>
        <v>27000</v>
      </c>
      <c r="M24" s="1052">
        <f t="shared" si="2"/>
        <v>0</v>
      </c>
      <c r="N24" s="1052">
        <f t="shared" si="2"/>
        <v>13801650</v>
      </c>
      <c r="O24" s="1052">
        <f t="shared" si="2"/>
        <v>18587994</v>
      </c>
      <c r="P24" s="1052">
        <f t="shared" si="2"/>
        <v>18587994</v>
      </c>
      <c r="Q24" s="1052">
        <f t="shared" si="2"/>
        <v>15837081</v>
      </c>
      <c r="R24" s="1052">
        <f t="shared" si="2"/>
        <v>329400</v>
      </c>
      <c r="S24" s="1052">
        <f t="shared" si="2"/>
        <v>0</v>
      </c>
      <c r="T24" s="1052">
        <f t="shared" si="2"/>
        <v>36000</v>
      </c>
      <c r="U24" s="1052">
        <f t="shared" si="2"/>
        <v>1404000</v>
      </c>
      <c r="V24" s="1052">
        <f t="shared" si="2"/>
        <v>0</v>
      </c>
      <c r="W24" s="1052">
        <f t="shared" si="2"/>
        <v>381000</v>
      </c>
      <c r="X24" s="1052"/>
      <c r="Y24" s="1052">
        <f t="shared" ref="Y24" si="3">SUM(Y22:Y23)</f>
        <v>360907503</v>
      </c>
    </row>
    <row r="25" spans="1:25" s="15" customFormat="1" ht="21" customHeight="1">
      <c r="A25" s="1732" t="s">
        <v>1427</v>
      </c>
      <c r="B25" s="1733"/>
      <c r="C25" s="1733"/>
      <c r="D25" s="1733"/>
      <c r="E25" s="1733"/>
      <c r="F25" s="1733"/>
      <c r="G25" s="1733"/>
      <c r="H25" s="1733"/>
      <c r="I25" s="1733"/>
      <c r="J25" s="1733"/>
      <c r="K25" s="1733"/>
      <c r="L25" s="1733"/>
      <c r="M25" s="1733"/>
      <c r="N25" s="1733"/>
      <c r="O25" s="1733"/>
      <c r="P25" s="1733"/>
      <c r="Q25" s="1733"/>
      <c r="R25" s="1733"/>
      <c r="S25" s="1733"/>
      <c r="T25" s="1733"/>
      <c r="U25" s="1733"/>
      <c r="V25" s="1733"/>
      <c r="W25" s="1733"/>
      <c r="X25" s="1733"/>
      <c r="Y25" s="1734"/>
    </row>
    <row r="26" spans="1:25" s="336" customFormat="1" ht="18" customHeight="1">
      <c r="A26" s="1730" t="s">
        <v>1630</v>
      </c>
      <c r="B26" s="1731"/>
      <c r="C26" s="1052">
        <v>110128980</v>
      </c>
      <c r="D26" s="1052">
        <v>343050</v>
      </c>
      <c r="E26" s="1052">
        <v>393000</v>
      </c>
      <c r="F26" s="1052">
        <v>3780000</v>
      </c>
      <c r="G26" s="1052">
        <v>19127097</v>
      </c>
      <c r="H26" s="1052">
        <v>6435000</v>
      </c>
      <c r="I26" s="1052">
        <v>11406720</v>
      </c>
      <c r="J26" s="1052">
        <v>6600000</v>
      </c>
      <c r="K26" s="1052"/>
      <c r="L26" s="1052">
        <v>18000</v>
      </c>
      <c r="M26" s="1052"/>
      <c r="N26" s="1052">
        <v>7957389</v>
      </c>
      <c r="O26" s="1052">
        <v>10779906</v>
      </c>
      <c r="P26" s="1052">
        <f>+O26</f>
        <v>10779906</v>
      </c>
      <c r="Q26" s="1052">
        <v>9276072</v>
      </c>
      <c r="R26" s="1052"/>
      <c r="S26" s="1052"/>
      <c r="T26" s="1052"/>
      <c r="U26" s="1052">
        <v>675000</v>
      </c>
      <c r="V26" s="1052"/>
      <c r="W26" s="1052">
        <v>186000</v>
      </c>
      <c r="X26" s="1052"/>
      <c r="Y26" s="1052">
        <f>SUM(C26:X26)</f>
        <v>197886120</v>
      </c>
    </row>
    <row r="27" spans="1:25" s="336" customFormat="1" ht="18" customHeight="1">
      <c r="A27" s="1730" t="s">
        <v>753</v>
      </c>
      <c r="B27" s="1731"/>
      <c r="C27" s="1052">
        <v>26634240</v>
      </c>
      <c r="D27" s="1052"/>
      <c r="E27" s="1052"/>
      <c r="F27" s="1052"/>
      <c r="G27" s="1052">
        <v>7832400</v>
      </c>
      <c r="H27" s="1052">
        <v>3191790</v>
      </c>
      <c r="I27" s="1052">
        <v>7383354</v>
      </c>
      <c r="J27" s="1052">
        <v>30000</v>
      </c>
      <c r="K27" s="1052"/>
      <c r="L27" s="1052">
        <v>38250</v>
      </c>
      <c r="M27" s="1052"/>
      <c r="N27" s="1052">
        <v>1962066</v>
      </c>
      <c r="O27" s="1052">
        <v>2605608</v>
      </c>
      <c r="P27" s="1052">
        <f>+O27</f>
        <v>2605608</v>
      </c>
      <c r="Q27" s="1052">
        <f>+P27</f>
        <v>2605608</v>
      </c>
      <c r="R27" s="1052">
        <v>143100</v>
      </c>
      <c r="S27" s="1052"/>
      <c r="T27" s="1052">
        <v>45000</v>
      </c>
      <c r="U27" s="1052"/>
      <c r="V27" s="1052"/>
      <c r="W27" s="1052"/>
      <c r="X27" s="1052"/>
      <c r="Y27" s="1052">
        <f>SUM(C27:X27)</f>
        <v>55077024</v>
      </c>
    </row>
    <row r="28" spans="1:25" s="336" customFormat="1" ht="18" customHeight="1">
      <c r="A28" s="1730" t="s">
        <v>337</v>
      </c>
      <c r="B28" s="1731"/>
      <c r="C28" s="1052">
        <f>SUM(C26:C27)</f>
        <v>136763220</v>
      </c>
      <c r="D28" s="1052">
        <f t="shared" ref="D28:W28" si="4">SUM(D26:D27)</f>
        <v>343050</v>
      </c>
      <c r="E28" s="1052">
        <f t="shared" si="4"/>
        <v>393000</v>
      </c>
      <c r="F28" s="1052">
        <f t="shared" si="4"/>
        <v>3780000</v>
      </c>
      <c r="G28" s="1052">
        <f t="shared" si="4"/>
        <v>26959497</v>
      </c>
      <c r="H28" s="1052">
        <f t="shared" si="4"/>
        <v>9626790</v>
      </c>
      <c r="I28" s="1052">
        <f t="shared" si="4"/>
        <v>18790074</v>
      </c>
      <c r="J28" s="1052">
        <f t="shared" si="4"/>
        <v>6630000</v>
      </c>
      <c r="K28" s="1052">
        <f t="shared" si="4"/>
        <v>0</v>
      </c>
      <c r="L28" s="1052">
        <f t="shared" si="4"/>
        <v>56250</v>
      </c>
      <c r="M28" s="1052">
        <f t="shared" si="4"/>
        <v>0</v>
      </c>
      <c r="N28" s="1052">
        <f t="shared" si="4"/>
        <v>9919455</v>
      </c>
      <c r="O28" s="1052">
        <f t="shared" si="4"/>
        <v>13385514</v>
      </c>
      <c r="P28" s="1052">
        <f t="shared" si="4"/>
        <v>13385514</v>
      </c>
      <c r="Q28" s="1052">
        <f t="shared" si="4"/>
        <v>11881680</v>
      </c>
      <c r="R28" s="1052">
        <f t="shared" si="4"/>
        <v>143100</v>
      </c>
      <c r="S28" s="1052">
        <f t="shared" si="4"/>
        <v>0</v>
      </c>
      <c r="T28" s="1052">
        <f t="shared" si="4"/>
        <v>45000</v>
      </c>
      <c r="U28" s="1052">
        <f t="shared" si="4"/>
        <v>675000</v>
      </c>
      <c r="V28" s="1052">
        <f t="shared" si="4"/>
        <v>0</v>
      </c>
      <c r="W28" s="1052">
        <f t="shared" si="4"/>
        <v>186000</v>
      </c>
      <c r="X28" s="1052"/>
      <c r="Y28" s="1052">
        <f t="shared" ref="Y28" si="5">SUM(Y26:Y27)</f>
        <v>252963144</v>
      </c>
    </row>
    <row r="29" spans="1:25" s="15" customFormat="1" ht="21" customHeight="1">
      <c r="A29" s="1732" t="s">
        <v>1428</v>
      </c>
      <c r="B29" s="1733"/>
      <c r="C29" s="1733"/>
      <c r="D29" s="1733"/>
      <c r="E29" s="1733"/>
      <c r="F29" s="1733"/>
      <c r="G29" s="1733"/>
      <c r="H29" s="1733"/>
      <c r="I29" s="1733"/>
      <c r="J29" s="1733"/>
      <c r="K29" s="1733"/>
      <c r="L29" s="1733"/>
      <c r="M29" s="1733"/>
      <c r="N29" s="1733"/>
      <c r="O29" s="1733"/>
      <c r="P29" s="1733"/>
      <c r="Q29" s="1733"/>
      <c r="R29" s="1733"/>
      <c r="S29" s="1733"/>
      <c r="T29" s="1733"/>
      <c r="U29" s="1733"/>
      <c r="V29" s="1733"/>
      <c r="W29" s="1733"/>
      <c r="X29" s="1733"/>
      <c r="Y29" s="1734"/>
    </row>
    <row r="30" spans="1:25" s="336" customFormat="1" ht="18" customHeight="1">
      <c r="A30" s="1730" t="s">
        <v>1630</v>
      </c>
      <c r="B30" s="1731"/>
      <c r="C30" s="1052">
        <v>81769950</v>
      </c>
      <c r="D30" s="1052">
        <v>312450</v>
      </c>
      <c r="E30" s="1052">
        <v>376500</v>
      </c>
      <c r="F30" s="1052">
        <v>3570000</v>
      </c>
      <c r="G30" s="1052">
        <v>15521364</v>
      </c>
      <c r="H30" s="1052">
        <v>4770000</v>
      </c>
      <c r="I30" s="1052">
        <v>8236800</v>
      </c>
      <c r="J30" s="1052">
        <v>7147500</v>
      </c>
      <c r="K30" s="1052"/>
      <c r="L30" s="1052">
        <v>274500</v>
      </c>
      <c r="M30" s="1052"/>
      <c r="N30" s="1052">
        <v>5877969</v>
      </c>
      <c r="O30" s="1052">
        <v>8002923</v>
      </c>
      <c r="P30" s="1052">
        <f>+O30</f>
        <v>8002923</v>
      </c>
      <c r="Q30" s="1052">
        <v>6694569</v>
      </c>
      <c r="R30" s="1052"/>
      <c r="S30" s="1052"/>
      <c r="T30" s="1052"/>
      <c r="U30" s="1052">
        <v>324000</v>
      </c>
      <c r="V30" s="1052"/>
      <c r="W30" s="1052">
        <v>192000</v>
      </c>
      <c r="X30" s="1052"/>
      <c r="Y30" s="1052">
        <f>SUM(C30:X30)</f>
        <v>151073448</v>
      </c>
    </row>
    <row r="31" spans="1:25" s="336" customFormat="1" ht="18" customHeight="1">
      <c r="A31" s="1730" t="s">
        <v>753</v>
      </c>
      <c r="B31" s="1731"/>
      <c r="C31" s="1052">
        <v>27052710</v>
      </c>
      <c r="D31" s="1052"/>
      <c r="E31" s="1052"/>
      <c r="F31" s="1052"/>
      <c r="G31" s="1052">
        <v>10184979</v>
      </c>
      <c r="H31" s="1052">
        <v>3270366</v>
      </c>
      <c r="I31" s="1052">
        <v>6945000</v>
      </c>
      <c r="J31" s="1052">
        <v>150000</v>
      </c>
      <c r="K31" s="1052"/>
      <c r="L31" s="1052">
        <v>27000</v>
      </c>
      <c r="M31" s="1052"/>
      <c r="N31" s="1052">
        <v>1942854</v>
      </c>
      <c r="O31" s="1052">
        <v>2641860</v>
      </c>
      <c r="P31" s="1052">
        <f>+O31</f>
        <v>2641860</v>
      </c>
      <c r="Q31" s="1052">
        <f>+P31</f>
        <v>2641860</v>
      </c>
      <c r="R31" s="1052">
        <v>95700</v>
      </c>
      <c r="S31" s="1052"/>
      <c r="T31" s="1052"/>
      <c r="U31" s="1052"/>
      <c r="V31" s="1052"/>
      <c r="W31" s="1052"/>
      <c r="X31" s="1052"/>
      <c r="Y31" s="1052">
        <f>SUM(C31:X31)</f>
        <v>57594189</v>
      </c>
    </row>
    <row r="32" spans="1:25" s="336" customFormat="1" ht="18" customHeight="1">
      <c r="A32" s="1730" t="s">
        <v>337</v>
      </c>
      <c r="B32" s="1731"/>
      <c r="C32" s="1052">
        <f>SUM(C30:C31)</f>
        <v>108822660</v>
      </c>
      <c r="D32" s="1052">
        <f t="shared" ref="D32:W32" si="6">SUM(D30:D31)</f>
        <v>312450</v>
      </c>
      <c r="E32" s="1052">
        <f t="shared" si="6"/>
        <v>376500</v>
      </c>
      <c r="F32" s="1052">
        <f t="shared" si="6"/>
        <v>3570000</v>
      </c>
      <c r="G32" s="1052">
        <f t="shared" si="6"/>
        <v>25706343</v>
      </c>
      <c r="H32" s="1052">
        <f t="shared" si="6"/>
        <v>8040366</v>
      </c>
      <c r="I32" s="1052">
        <f t="shared" si="6"/>
        <v>15181800</v>
      </c>
      <c r="J32" s="1052">
        <f t="shared" si="6"/>
        <v>7297500</v>
      </c>
      <c r="K32" s="1052">
        <f t="shared" si="6"/>
        <v>0</v>
      </c>
      <c r="L32" s="1052">
        <f t="shared" si="6"/>
        <v>301500</v>
      </c>
      <c r="M32" s="1052">
        <f t="shared" si="6"/>
        <v>0</v>
      </c>
      <c r="N32" s="1052">
        <f t="shared" si="6"/>
        <v>7820823</v>
      </c>
      <c r="O32" s="1052">
        <f t="shared" si="6"/>
        <v>10644783</v>
      </c>
      <c r="P32" s="1052">
        <f t="shared" si="6"/>
        <v>10644783</v>
      </c>
      <c r="Q32" s="1052">
        <f t="shared" si="6"/>
        <v>9336429</v>
      </c>
      <c r="R32" s="1052">
        <f t="shared" si="6"/>
        <v>95700</v>
      </c>
      <c r="S32" s="1052">
        <f t="shared" si="6"/>
        <v>0</v>
      </c>
      <c r="T32" s="1052">
        <f t="shared" si="6"/>
        <v>0</v>
      </c>
      <c r="U32" s="1052">
        <f t="shared" si="6"/>
        <v>324000</v>
      </c>
      <c r="V32" s="1052">
        <f t="shared" si="6"/>
        <v>0</v>
      </c>
      <c r="W32" s="1052">
        <f t="shared" si="6"/>
        <v>192000</v>
      </c>
      <c r="X32" s="1052"/>
      <c r="Y32" s="1052">
        <f t="shared" ref="Y32" si="7">SUM(Y30:Y31)</f>
        <v>208667637</v>
      </c>
    </row>
    <row r="33" spans="1:27" s="15" customFormat="1" ht="18" customHeight="1">
      <c r="A33" s="1732" t="s">
        <v>1429</v>
      </c>
      <c r="B33" s="1733"/>
      <c r="C33" s="1733"/>
      <c r="D33" s="1733"/>
      <c r="E33" s="1733"/>
      <c r="F33" s="1733"/>
      <c r="G33" s="1733"/>
      <c r="H33" s="1733"/>
      <c r="I33" s="1733"/>
      <c r="J33" s="1733"/>
      <c r="K33" s="1733"/>
      <c r="L33" s="1733"/>
      <c r="M33" s="1733"/>
      <c r="N33" s="1733"/>
      <c r="O33" s="1733"/>
      <c r="P33" s="1733"/>
      <c r="Q33" s="1733"/>
      <c r="R33" s="1733"/>
      <c r="S33" s="1733"/>
      <c r="T33" s="1733"/>
      <c r="U33" s="1733"/>
      <c r="V33" s="1733"/>
      <c r="W33" s="1733"/>
      <c r="X33" s="1733"/>
      <c r="Y33" s="1734"/>
    </row>
    <row r="34" spans="1:27" s="15" customFormat="1" ht="18" customHeight="1">
      <c r="A34" s="1730" t="s">
        <v>1630</v>
      </c>
      <c r="B34" s="1731"/>
      <c r="C34" s="1052">
        <v>31351824</v>
      </c>
      <c r="D34" s="1052">
        <v>216150</v>
      </c>
      <c r="E34" s="1052">
        <v>144900</v>
      </c>
      <c r="F34" s="1052">
        <v>2310000</v>
      </c>
      <c r="G34" s="1052">
        <v>4949250</v>
      </c>
      <c r="H34" s="1052">
        <v>1410000</v>
      </c>
      <c r="I34" s="1052">
        <v>2945280</v>
      </c>
      <c r="J34" s="1052">
        <v>2850000</v>
      </c>
      <c r="K34" s="1052"/>
      <c r="L34" s="1052"/>
      <c r="M34" s="1052"/>
      <c r="N34" s="1052">
        <v>2272821</v>
      </c>
      <c r="O34" s="1052">
        <v>3061383</v>
      </c>
      <c r="P34" s="1052">
        <f>+O34</f>
        <v>3061383</v>
      </c>
      <c r="Q34" s="1052">
        <v>2125545</v>
      </c>
      <c r="R34" s="1052"/>
      <c r="S34" s="1052"/>
      <c r="T34" s="1052"/>
      <c r="U34" s="1052">
        <v>648000</v>
      </c>
      <c r="V34" s="1052"/>
      <c r="W34" s="1052">
        <v>324000</v>
      </c>
      <c r="X34" s="1052"/>
      <c r="Y34" s="1052">
        <f>SUM(C34:X34)</f>
        <v>57670536</v>
      </c>
    </row>
    <row r="35" spans="1:27" s="336" customFormat="1" ht="18" customHeight="1">
      <c r="A35" s="1730" t="s">
        <v>753</v>
      </c>
      <c r="B35" s="1731"/>
      <c r="C35" s="1052">
        <v>14496540</v>
      </c>
      <c r="D35" s="1052"/>
      <c r="E35" s="1052">
        <v>12000</v>
      </c>
      <c r="F35" s="1052"/>
      <c r="G35" s="1052">
        <v>4619187</v>
      </c>
      <c r="H35" s="1052">
        <v>1611303</v>
      </c>
      <c r="I35" s="1052">
        <v>3358251</v>
      </c>
      <c r="J35" s="1052">
        <v>240000</v>
      </c>
      <c r="K35" s="1052"/>
      <c r="L35" s="1052">
        <v>9000</v>
      </c>
      <c r="M35" s="1052"/>
      <c r="N35" s="1052">
        <v>1056015</v>
      </c>
      <c r="O35" s="1052">
        <v>1418961</v>
      </c>
      <c r="P35" s="1052">
        <f>+O35</f>
        <v>1418961</v>
      </c>
      <c r="Q35" s="1052">
        <f>+P35</f>
        <v>1418961</v>
      </c>
      <c r="R35" s="1052">
        <v>44550</v>
      </c>
      <c r="S35" s="1052"/>
      <c r="T35" s="1052"/>
      <c r="U35" s="1052"/>
      <c r="V35" s="1052"/>
      <c r="W35" s="1052"/>
      <c r="X35" s="1052"/>
      <c r="Y35" s="1052">
        <f>SUM(C35:X35)</f>
        <v>29703729</v>
      </c>
    </row>
    <row r="36" spans="1:27" s="336" customFormat="1" ht="18" customHeight="1">
      <c r="A36" s="1730" t="s">
        <v>337</v>
      </c>
      <c r="B36" s="1731"/>
      <c r="C36" s="1052">
        <f>SUM(C34:C35)</f>
        <v>45848364</v>
      </c>
      <c r="D36" s="1052">
        <f t="shared" ref="D36:W36" si="8">SUM(D34:D35)</f>
        <v>216150</v>
      </c>
      <c r="E36" s="1052">
        <f t="shared" si="8"/>
        <v>156900</v>
      </c>
      <c r="F36" s="1052">
        <f t="shared" si="8"/>
        <v>2310000</v>
      </c>
      <c r="G36" s="1052">
        <f t="shared" si="8"/>
        <v>9568437</v>
      </c>
      <c r="H36" s="1052">
        <f t="shared" si="8"/>
        <v>3021303</v>
      </c>
      <c r="I36" s="1052">
        <f t="shared" si="8"/>
        <v>6303531</v>
      </c>
      <c r="J36" s="1052">
        <f t="shared" si="8"/>
        <v>3090000</v>
      </c>
      <c r="K36" s="1052">
        <f t="shared" si="8"/>
        <v>0</v>
      </c>
      <c r="L36" s="1052">
        <f t="shared" si="8"/>
        <v>9000</v>
      </c>
      <c r="M36" s="1052">
        <f t="shared" si="8"/>
        <v>0</v>
      </c>
      <c r="N36" s="1052">
        <f t="shared" si="8"/>
        <v>3328836</v>
      </c>
      <c r="O36" s="1052">
        <f t="shared" si="8"/>
        <v>4480344</v>
      </c>
      <c r="P36" s="1052">
        <f t="shared" si="8"/>
        <v>4480344</v>
      </c>
      <c r="Q36" s="1052">
        <f t="shared" si="8"/>
        <v>3544506</v>
      </c>
      <c r="R36" s="1052">
        <f t="shared" si="8"/>
        <v>44550</v>
      </c>
      <c r="S36" s="1052">
        <f t="shared" si="8"/>
        <v>0</v>
      </c>
      <c r="T36" s="1052">
        <f t="shared" si="8"/>
        <v>0</v>
      </c>
      <c r="U36" s="1052">
        <f t="shared" si="8"/>
        <v>648000</v>
      </c>
      <c r="V36" s="1052">
        <f t="shared" si="8"/>
        <v>0</v>
      </c>
      <c r="W36" s="1052">
        <f t="shared" si="8"/>
        <v>324000</v>
      </c>
      <c r="X36" s="1052"/>
      <c r="Y36" s="1052">
        <f t="shared" ref="Y36" si="9">SUM(Y34:Y35)</f>
        <v>87374265</v>
      </c>
    </row>
    <row r="37" spans="1:27" s="15" customFormat="1" ht="18" customHeight="1">
      <c r="A37" s="1732" t="s">
        <v>145</v>
      </c>
      <c r="B37" s="1733"/>
      <c r="C37" s="1733"/>
      <c r="D37" s="1733"/>
      <c r="E37" s="1733"/>
      <c r="F37" s="1733"/>
      <c r="G37" s="1733"/>
      <c r="H37" s="1733"/>
      <c r="I37" s="1733"/>
      <c r="J37" s="1733"/>
      <c r="K37" s="1733"/>
      <c r="L37" s="1733"/>
      <c r="M37" s="1733"/>
      <c r="N37" s="1733"/>
      <c r="O37" s="1733"/>
      <c r="P37" s="1733"/>
      <c r="Q37" s="1733"/>
      <c r="R37" s="1733"/>
      <c r="S37" s="1733"/>
      <c r="T37" s="1733"/>
      <c r="U37" s="1733"/>
      <c r="V37" s="1733"/>
      <c r="W37" s="1733"/>
      <c r="X37" s="1733"/>
      <c r="Y37" s="1734"/>
    </row>
    <row r="38" spans="1:27" s="15" customFormat="1" ht="18" customHeight="1">
      <c r="A38" s="1730" t="s">
        <v>1630</v>
      </c>
      <c r="B38" s="1731"/>
      <c r="C38" s="1052">
        <v>100035540</v>
      </c>
      <c r="D38" s="1052">
        <v>487950</v>
      </c>
      <c r="E38" s="1052">
        <v>410100</v>
      </c>
      <c r="F38" s="1052">
        <v>5166000</v>
      </c>
      <c r="G38" s="1052">
        <v>17653536</v>
      </c>
      <c r="H38" s="1052">
        <v>5415000</v>
      </c>
      <c r="I38" s="1052">
        <v>10308480</v>
      </c>
      <c r="J38" s="1052">
        <v>7860000</v>
      </c>
      <c r="K38" s="1052"/>
      <c r="L38" s="1052">
        <v>18000</v>
      </c>
      <c r="M38" s="1052"/>
      <c r="N38" s="1052">
        <v>7319361</v>
      </c>
      <c r="O38" s="1052">
        <v>9772074</v>
      </c>
      <c r="P38" s="1052">
        <f>+O38</f>
        <v>9772074</v>
      </c>
      <c r="Q38" s="1052">
        <v>7682880</v>
      </c>
      <c r="R38" s="1052"/>
      <c r="S38" s="1052"/>
      <c r="T38" s="1052"/>
      <c r="U38" s="1052">
        <v>1404000</v>
      </c>
      <c r="V38" s="1052"/>
      <c r="W38" s="1052">
        <v>454500</v>
      </c>
      <c r="X38" s="1052"/>
      <c r="Y38" s="1052">
        <f>SUM(C38:X38)</f>
        <v>183759495</v>
      </c>
    </row>
    <row r="39" spans="1:27" s="336" customFormat="1" ht="18" customHeight="1">
      <c r="A39" s="1730" t="s">
        <v>753</v>
      </c>
      <c r="B39" s="1731"/>
      <c r="C39" s="1052">
        <v>32993280</v>
      </c>
      <c r="D39" s="1052"/>
      <c r="E39" s="1052"/>
      <c r="F39" s="1052"/>
      <c r="G39" s="1052">
        <v>12473904</v>
      </c>
      <c r="H39" s="1052">
        <v>3743637</v>
      </c>
      <c r="I39" s="1052">
        <v>8518917</v>
      </c>
      <c r="J39" s="1052">
        <v>390000</v>
      </c>
      <c r="K39" s="1052"/>
      <c r="L39" s="1052">
        <v>54000</v>
      </c>
      <c r="M39" s="1052"/>
      <c r="N39" s="1052">
        <v>2380701</v>
      </c>
      <c r="O39" s="1052">
        <v>3228858</v>
      </c>
      <c r="P39" s="1052">
        <f>+O39</f>
        <v>3228858</v>
      </c>
      <c r="Q39" s="1052">
        <f>+P39</f>
        <v>3228858</v>
      </c>
      <c r="R39" s="1052">
        <v>160650</v>
      </c>
      <c r="S39" s="1052"/>
      <c r="T39" s="1052"/>
      <c r="U39" s="1052"/>
      <c r="V39" s="1052"/>
      <c r="W39" s="1052"/>
      <c r="X39" s="1052"/>
      <c r="Y39" s="1052">
        <f>SUM(C39:X39)</f>
        <v>70401663</v>
      </c>
    </row>
    <row r="40" spans="1:27" s="336" customFormat="1" ht="18" customHeight="1">
      <c r="A40" s="1730" t="s">
        <v>337</v>
      </c>
      <c r="B40" s="1731"/>
      <c r="C40" s="1052">
        <f>SUM(C38:C39)</f>
        <v>133028820</v>
      </c>
      <c r="D40" s="1052">
        <f t="shared" ref="D40:W40" si="10">SUM(D38:D39)</f>
        <v>487950</v>
      </c>
      <c r="E40" s="1052">
        <f t="shared" si="10"/>
        <v>410100</v>
      </c>
      <c r="F40" s="1052">
        <f t="shared" si="10"/>
        <v>5166000</v>
      </c>
      <c r="G40" s="1052">
        <f t="shared" si="10"/>
        <v>30127440</v>
      </c>
      <c r="H40" s="1052">
        <f t="shared" si="10"/>
        <v>9158637</v>
      </c>
      <c r="I40" s="1052">
        <f t="shared" si="10"/>
        <v>18827397</v>
      </c>
      <c r="J40" s="1052">
        <f t="shared" si="10"/>
        <v>8250000</v>
      </c>
      <c r="K40" s="1052">
        <f t="shared" si="10"/>
        <v>0</v>
      </c>
      <c r="L40" s="1052">
        <f t="shared" si="10"/>
        <v>72000</v>
      </c>
      <c r="M40" s="1052">
        <f t="shared" si="10"/>
        <v>0</v>
      </c>
      <c r="N40" s="1052">
        <f t="shared" si="10"/>
        <v>9700062</v>
      </c>
      <c r="O40" s="1052">
        <f t="shared" si="10"/>
        <v>13000932</v>
      </c>
      <c r="P40" s="1052">
        <f t="shared" si="10"/>
        <v>13000932</v>
      </c>
      <c r="Q40" s="1052">
        <f t="shared" si="10"/>
        <v>10911738</v>
      </c>
      <c r="R40" s="1052">
        <f t="shared" si="10"/>
        <v>160650</v>
      </c>
      <c r="S40" s="1052">
        <f t="shared" si="10"/>
        <v>0</v>
      </c>
      <c r="T40" s="1052">
        <f t="shared" si="10"/>
        <v>0</v>
      </c>
      <c r="U40" s="1052">
        <f t="shared" si="10"/>
        <v>1404000</v>
      </c>
      <c r="V40" s="1052">
        <f t="shared" si="10"/>
        <v>0</v>
      </c>
      <c r="W40" s="1052">
        <f t="shared" si="10"/>
        <v>454500</v>
      </c>
      <c r="X40" s="1052"/>
      <c r="Y40" s="1052">
        <f t="shared" ref="Y40" si="11">SUM(Y38:Y39)</f>
        <v>254161158</v>
      </c>
    </row>
    <row r="41" spans="1:27" s="15" customFormat="1" ht="18" customHeight="1">
      <c r="A41" s="1732" t="s">
        <v>1430</v>
      </c>
      <c r="B41" s="1733"/>
      <c r="C41" s="1733"/>
      <c r="D41" s="1733"/>
      <c r="E41" s="1733"/>
      <c r="F41" s="1733"/>
      <c r="G41" s="1733"/>
      <c r="H41" s="1733"/>
      <c r="I41" s="1733"/>
      <c r="J41" s="1733"/>
      <c r="K41" s="1733"/>
      <c r="L41" s="1733"/>
      <c r="M41" s="1733"/>
      <c r="N41" s="1733"/>
      <c r="O41" s="1733"/>
      <c r="P41" s="1733"/>
      <c r="Q41" s="1733"/>
      <c r="R41" s="1733"/>
      <c r="S41" s="1733"/>
      <c r="T41" s="1733"/>
      <c r="U41" s="1733"/>
      <c r="V41" s="1733"/>
      <c r="W41" s="1733"/>
      <c r="X41" s="1733"/>
      <c r="Y41" s="1734"/>
    </row>
    <row r="42" spans="1:27" s="15" customFormat="1" ht="18" customHeight="1">
      <c r="A42" s="1730" t="s">
        <v>1630</v>
      </c>
      <c r="B42" s="1731"/>
      <c r="C42" s="1052">
        <v>59053230</v>
      </c>
      <c r="D42" s="1052">
        <v>286950</v>
      </c>
      <c r="E42" s="1052">
        <v>262200</v>
      </c>
      <c r="F42" s="1052">
        <v>3150000</v>
      </c>
      <c r="G42" s="1052">
        <v>13307883</v>
      </c>
      <c r="H42" s="1052">
        <v>3480000</v>
      </c>
      <c r="I42" s="1052">
        <v>5990400</v>
      </c>
      <c r="J42" s="1052">
        <v>3307500</v>
      </c>
      <c r="K42" s="1052"/>
      <c r="L42" s="1052"/>
      <c r="M42" s="1052"/>
      <c r="N42" s="1052">
        <v>4275054</v>
      </c>
      <c r="O42" s="1052">
        <v>5772012</v>
      </c>
      <c r="P42" s="1052">
        <f>+O42</f>
        <v>5772012</v>
      </c>
      <c r="Q42" s="1052">
        <v>4586688</v>
      </c>
      <c r="R42" s="1052"/>
      <c r="S42" s="1052"/>
      <c r="T42" s="1052">
        <v>36000</v>
      </c>
      <c r="U42" s="1052">
        <v>216000</v>
      </c>
      <c r="V42" s="1052"/>
      <c r="W42" s="1052">
        <v>42000</v>
      </c>
      <c r="X42" s="1052"/>
      <c r="Y42" s="1052">
        <f>SUM(C42:X42)</f>
        <v>109537929</v>
      </c>
    </row>
    <row r="43" spans="1:27" s="336" customFormat="1" ht="18" customHeight="1">
      <c r="A43" s="1730" t="s">
        <v>753</v>
      </c>
      <c r="B43" s="1731"/>
      <c r="C43" s="1052">
        <v>8841600</v>
      </c>
      <c r="D43" s="1052"/>
      <c r="E43" s="1052"/>
      <c r="F43" s="1052"/>
      <c r="G43" s="1052">
        <v>2161908</v>
      </c>
      <c r="H43" s="1052">
        <v>987861</v>
      </c>
      <c r="I43" s="1052">
        <v>2208261</v>
      </c>
      <c r="J43" s="1052">
        <v>30000</v>
      </c>
      <c r="K43" s="1052"/>
      <c r="L43" s="1052"/>
      <c r="M43" s="1052"/>
      <c r="N43" s="1052">
        <v>637929</v>
      </c>
      <c r="O43" s="1052">
        <v>867159</v>
      </c>
      <c r="P43" s="1052">
        <f>+O43</f>
        <v>867159</v>
      </c>
      <c r="Q43" s="1052">
        <f>+P43</f>
        <v>867159</v>
      </c>
      <c r="R43" s="1052">
        <v>52650</v>
      </c>
      <c r="S43" s="1052"/>
      <c r="T43" s="1052"/>
      <c r="U43" s="1052"/>
      <c r="V43" s="1052"/>
      <c r="W43" s="1052"/>
      <c r="X43" s="1052"/>
      <c r="Y43" s="1052">
        <f>SUM(C43:X43)</f>
        <v>17521686</v>
      </c>
    </row>
    <row r="44" spans="1:27" s="336" customFormat="1" ht="18" customHeight="1">
      <c r="A44" s="1730" t="s">
        <v>337</v>
      </c>
      <c r="B44" s="1731"/>
      <c r="C44" s="1052">
        <f>SUM(C42:C43)</f>
        <v>67894830</v>
      </c>
      <c r="D44" s="1052">
        <f t="shared" ref="D44:W44" si="12">SUM(D42:D43)</f>
        <v>286950</v>
      </c>
      <c r="E44" s="1052">
        <f t="shared" si="12"/>
        <v>262200</v>
      </c>
      <c r="F44" s="1052">
        <f t="shared" si="12"/>
        <v>3150000</v>
      </c>
      <c r="G44" s="1052">
        <f t="shared" si="12"/>
        <v>15469791</v>
      </c>
      <c r="H44" s="1052">
        <f t="shared" si="12"/>
        <v>4467861</v>
      </c>
      <c r="I44" s="1052">
        <f t="shared" si="12"/>
        <v>8198661</v>
      </c>
      <c r="J44" s="1052">
        <f t="shared" si="12"/>
        <v>3337500</v>
      </c>
      <c r="K44" s="1052">
        <f t="shared" si="12"/>
        <v>0</v>
      </c>
      <c r="L44" s="1052">
        <f t="shared" si="12"/>
        <v>0</v>
      </c>
      <c r="M44" s="1052">
        <f t="shared" si="12"/>
        <v>0</v>
      </c>
      <c r="N44" s="1052">
        <f t="shared" si="12"/>
        <v>4912983</v>
      </c>
      <c r="O44" s="1052">
        <f t="shared" si="12"/>
        <v>6639171</v>
      </c>
      <c r="P44" s="1052">
        <f t="shared" si="12"/>
        <v>6639171</v>
      </c>
      <c r="Q44" s="1052">
        <f t="shared" si="12"/>
        <v>5453847</v>
      </c>
      <c r="R44" s="1052">
        <f t="shared" si="12"/>
        <v>52650</v>
      </c>
      <c r="S44" s="1052">
        <f t="shared" si="12"/>
        <v>0</v>
      </c>
      <c r="T44" s="1052">
        <f t="shared" si="12"/>
        <v>36000</v>
      </c>
      <c r="U44" s="1052">
        <f t="shared" si="12"/>
        <v>216000</v>
      </c>
      <c r="V44" s="1052">
        <f t="shared" si="12"/>
        <v>0</v>
      </c>
      <c r="W44" s="1052">
        <f t="shared" si="12"/>
        <v>42000</v>
      </c>
      <c r="X44" s="1052"/>
      <c r="Y44" s="1052">
        <f t="shared" ref="Y44" si="13">SUM(Y42:Y43)</f>
        <v>127059615</v>
      </c>
    </row>
    <row r="45" spans="1:27">
      <c r="A45" s="1737" t="s">
        <v>338</v>
      </c>
      <c r="B45" s="1738"/>
      <c r="C45" s="1053">
        <f>SUM(C16+C20+C24+C28+C32+C36+C40+C44)</f>
        <v>1060516434</v>
      </c>
      <c r="D45" s="1053">
        <f t="shared" ref="D45:Y45" si="14">SUM(D16+D20+D24+D28+D32+D36+D40+D44)</f>
        <v>2657400</v>
      </c>
      <c r="E45" s="1053">
        <f t="shared" si="14"/>
        <v>2555100</v>
      </c>
      <c r="F45" s="1053">
        <f t="shared" si="14"/>
        <v>28974000</v>
      </c>
      <c r="G45" s="1053">
        <f t="shared" si="14"/>
        <v>276401766</v>
      </c>
      <c r="H45" s="1053">
        <f t="shared" si="14"/>
        <v>86523978</v>
      </c>
      <c r="I45" s="1053">
        <f t="shared" si="14"/>
        <v>186292935</v>
      </c>
      <c r="J45" s="1053">
        <f t="shared" si="14"/>
        <v>44745000</v>
      </c>
      <c r="K45" s="1053">
        <f t="shared" si="14"/>
        <v>0</v>
      </c>
      <c r="L45" s="1053">
        <f t="shared" si="14"/>
        <v>726750</v>
      </c>
      <c r="M45" s="1053">
        <f t="shared" si="14"/>
        <v>0</v>
      </c>
      <c r="N45" s="1053">
        <f t="shared" si="14"/>
        <v>76394901</v>
      </c>
      <c r="O45" s="1053">
        <f t="shared" si="14"/>
        <v>103784754</v>
      </c>
      <c r="P45" s="1053">
        <f t="shared" si="14"/>
        <v>103784754</v>
      </c>
      <c r="Q45" s="1053">
        <f t="shared" si="14"/>
        <v>92272878</v>
      </c>
      <c r="R45" s="1053">
        <f t="shared" si="14"/>
        <v>4237050</v>
      </c>
      <c r="S45" s="1053">
        <f t="shared" si="14"/>
        <v>0</v>
      </c>
      <c r="T45" s="1053">
        <f t="shared" si="14"/>
        <v>594000</v>
      </c>
      <c r="U45" s="1053">
        <f t="shared" si="14"/>
        <v>5427000</v>
      </c>
      <c r="V45" s="1053">
        <f t="shared" si="14"/>
        <v>0</v>
      </c>
      <c r="W45" s="1053">
        <f t="shared" si="14"/>
        <v>3261300</v>
      </c>
      <c r="X45" s="1052"/>
      <c r="Y45" s="1053">
        <f t="shared" si="14"/>
        <v>2079150000</v>
      </c>
    </row>
    <row r="46" spans="1:27">
      <c r="A46" s="1735" t="s">
        <v>339</v>
      </c>
      <c r="B46" s="1736"/>
      <c r="C46" s="1736"/>
      <c r="D46" s="1736"/>
      <c r="E46" s="1736"/>
      <c r="F46" s="1736"/>
      <c r="G46" s="1736"/>
      <c r="H46" s="1736"/>
      <c r="I46" s="1736"/>
      <c r="J46" s="1736"/>
      <c r="K46" s="1736"/>
      <c r="L46" s="1736"/>
      <c r="M46" s="1736"/>
      <c r="N46" s="1736"/>
      <c r="O46" s="1736"/>
      <c r="P46" s="1736"/>
      <c r="Q46" s="1736"/>
      <c r="R46" s="1736"/>
      <c r="S46" s="1736"/>
      <c r="T46" s="1736"/>
      <c r="U46" s="1736"/>
      <c r="V46" s="1736"/>
      <c r="W46" s="1736"/>
      <c r="X46" s="1736"/>
      <c r="Y46" s="1736"/>
    </row>
    <row r="47" spans="1:27">
      <c r="A47" s="61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26"/>
    </row>
    <row r="48" spans="1:27">
      <c r="A48" s="61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AA48" s="26"/>
    </row>
    <row r="49" spans="1:27">
      <c r="A49" s="61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AA49" s="26"/>
    </row>
    <row r="50" spans="1:27" hidden="1">
      <c r="A50" s="61"/>
      <c r="B50" s="61"/>
      <c r="C50" s="1060">
        <f>+C14</f>
        <v>306837030</v>
      </c>
      <c r="D50" s="1060">
        <f t="shared" ref="D50:X50" si="15">+D14</f>
        <v>129750</v>
      </c>
      <c r="E50" s="1060">
        <f t="shared" si="15"/>
        <v>111900</v>
      </c>
      <c r="F50" s="1060">
        <f t="shared" si="15"/>
        <v>1386000</v>
      </c>
      <c r="G50" s="1060">
        <v>47282997</v>
      </c>
      <c r="H50" s="1060">
        <f t="shared" si="15"/>
        <v>33101199</v>
      </c>
      <c r="I50" s="1060">
        <f t="shared" si="15"/>
        <v>81976977</v>
      </c>
      <c r="J50" s="1060">
        <f t="shared" si="15"/>
        <v>1110000</v>
      </c>
      <c r="K50" s="1060">
        <f t="shared" si="15"/>
        <v>0</v>
      </c>
      <c r="L50" s="1060">
        <f t="shared" si="15"/>
        <v>234000</v>
      </c>
      <c r="M50" s="1060">
        <f t="shared" si="15"/>
        <v>0</v>
      </c>
      <c r="N50" s="1060">
        <f t="shared" si="15"/>
        <v>22114893</v>
      </c>
      <c r="O50" s="1060">
        <f t="shared" si="15"/>
        <v>30081795</v>
      </c>
      <c r="P50" s="1060">
        <f t="shared" si="15"/>
        <v>30081795</v>
      </c>
      <c r="Q50" s="1060">
        <f t="shared" si="15"/>
        <v>29313744</v>
      </c>
      <c r="R50" s="1060">
        <f t="shared" si="15"/>
        <v>3317850</v>
      </c>
      <c r="S50" s="1060">
        <f t="shared" si="15"/>
        <v>0</v>
      </c>
      <c r="T50" s="1060">
        <f t="shared" si="15"/>
        <v>405000</v>
      </c>
      <c r="U50" s="1060">
        <f t="shared" si="15"/>
        <v>0</v>
      </c>
      <c r="V50" s="1060">
        <f t="shared" si="15"/>
        <v>0</v>
      </c>
      <c r="W50" s="1060">
        <f t="shared" si="15"/>
        <v>1417800</v>
      </c>
      <c r="X50" s="1060">
        <f t="shared" si="15"/>
        <v>0</v>
      </c>
      <c r="Y50" s="1060">
        <f>SUM(C50:X50)</f>
        <v>588902730</v>
      </c>
      <c r="Z50" s="1055"/>
      <c r="AA50" s="1056"/>
    </row>
    <row r="51" spans="1:27" hidden="1">
      <c r="A51" s="61"/>
      <c r="B51" s="61"/>
      <c r="C51" s="1060">
        <f>+C13+C18+C22+C26+C30+C34+C38+C42</f>
        <v>575396394</v>
      </c>
      <c r="D51" s="1060">
        <f t="shared" ref="D51:X51" si="16">+D13+D18+D22+D26+D30+D34+D38+D42</f>
        <v>2527650</v>
      </c>
      <c r="E51" s="1060">
        <f t="shared" si="16"/>
        <v>2431200</v>
      </c>
      <c r="F51" s="1060">
        <f t="shared" si="16"/>
        <v>27588000</v>
      </c>
      <c r="G51" s="1060">
        <v>38272452</v>
      </c>
      <c r="H51" s="1060">
        <f t="shared" si="16"/>
        <v>32295000</v>
      </c>
      <c r="I51" s="1060">
        <f t="shared" si="16"/>
        <v>57807360</v>
      </c>
      <c r="J51" s="1060">
        <f t="shared" si="16"/>
        <v>42585000</v>
      </c>
      <c r="K51" s="1060">
        <f t="shared" si="16"/>
        <v>0</v>
      </c>
      <c r="L51" s="1060">
        <f t="shared" si="16"/>
        <v>310500</v>
      </c>
      <c r="M51" s="1060">
        <f t="shared" si="16"/>
        <v>0</v>
      </c>
      <c r="N51" s="1060">
        <f t="shared" si="16"/>
        <v>41309373</v>
      </c>
      <c r="O51" s="1060">
        <f t="shared" si="16"/>
        <v>56263302</v>
      </c>
      <c r="P51" s="1060">
        <f t="shared" si="16"/>
        <v>56263302</v>
      </c>
      <c r="Q51" s="1060">
        <f t="shared" si="16"/>
        <v>45519477</v>
      </c>
      <c r="R51" s="1060">
        <f t="shared" si="16"/>
        <v>0</v>
      </c>
      <c r="S51" s="1060">
        <f t="shared" si="16"/>
        <v>0</v>
      </c>
      <c r="T51" s="1060">
        <f t="shared" si="16"/>
        <v>36000</v>
      </c>
      <c r="U51" s="1060">
        <f t="shared" si="16"/>
        <v>5427000</v>
      </c>
      <c r="V51" s="1060">
        <f t="shared" si="16"/>
        <v>0</v>
      </c>
      <c r="W51" s="1060">
        <f t="shared" si="16"/>
        <v>1843500</v>
      </c>
      <c r="X51" s="1060">
        <f t="shared" si="16"/>
        <v>0</v>
      </c>
      <c r="Y51" s="1060">
        <f t="shared" ref="Y51:Y52" si="17">SUM(C51:X51)</f>
        <v>985875510</v>
      </c>
      <c r="Z51" s="1055"/>
    </row>
    <row r="52" spans="1:27" hidden="1">
      <c r="C52" s="1061">
        <f>+C19+C23+C27+C31+C35+C39+C43</f>
        <v>178283010</v>
      </c>
      <c r="D52" s="1061">
        <f t="shared" ref="D52:X52" si="18">+D19+D23+D27+D31+D35+D39+D43</f>
        <v>0</v>
      </c>
      <c r="E52" s="1061">
        <f t="shared" si="18"/>
        <v>12000</v>
      </c>
      <c r="F52" s="1061">
        <f t="shared" si="18"/>
        <v>0</v>
      </c>
      <c r="G52" s="1061">
        <v>8014557</v>
      </c>
      <c r="H52" s="1061">
        <f t="shared" si="18"/>
        <v>21127779</v>
      </c>
      <c r="I52" s="1061">
        <f t="shared" si="18"/>
        <v>46508598</v>
      </c>
      <c r="J52" s="1061">
        <f t="shared" si="18"/>
        <v>1050000</v>
      </c>
      <c r="K52" s="1061">
        <f t="shared" si="18"/>
        <v>0</v>
      </c>
      <c r="L52" s="1061">
        <f t="shared" si="18"/>
        <v>182250</v>
      </c>
      <c r="M52" s="1061">
        <f t="shared" si="18"/>
        <v>0</v>
      </c>
      <c r="N52" s="1061">
        <f t="shared" si="18"/>
        <v>12970635</v>
      </c>
      <c r="O52" s="1061">
        <f t="shared" si="18"/>
        <v>17439657</v>
      </c>
      <c r="P52" s="1061">
        <f t="shared" si="18"/>
        <v>17439657</v>
      </c>
      <c r="Q52" s="1061">
        <f t="shared" si="18"/>
        <v>17439657</v>
      </c>
      <c r="R52" s="1061">
        <f t="shared" si="18"/>
        <v>919200</v>
      </c>
      <c r="S52" s="1061">
        <f t="shared" si="18"/>
        <v>0</v>
      </c>
      <c r="T52" s="1061">
        <f t="shared" si="18"/>
        <v>153000</v>
      </c>
      <c r="U52" s="1061">
        <f t="shared" si="18"/>
        <v>0</v>
      </c>
      <c r="V52" s="1061">
        <f t="shared" si="18"/>
        <v>0</v>
      </c>
      <c r="W52" s="1061">
        <f t="shared" si="18"/>
        <v>0</v>
      </c>
      <c r="X52" s="1061">
        <f t="shared" si="18"/>
        <v>0</v>
      </c>
      <c r="Y52" s="1060">
        <f t="shared" si="17"/>
        <v>321540000</v>
      </c>
      <c r="Z52" s="1055"/>
    </row>
    <row r="53" spans="1:27" hidden="1">
      <c r="C53" s="1061">
        <f>SUM(C50:C52)</f>
        <v>1060516434</v>
      </c>
      <c r="D53" s="1061">
        <f t="shared" ref="D53:Y53" si="19">SUM(D50:D52)</f>
        <v>2657400</v>
      </c>
      <c r="E53" s="1061">
        <f t="shared" si="19"/>
        <v>2555100</v>
      </c>
      <c r="F53" s="1061">
        <f t="shared" si="19"/>
        <v>28974000</v>
      </c>
      <c r="G53" s="1061">
        <f t="shared" si="19"/>
        <v>93570006</v>
      </c>
      <c r="H53" s="1061">
        <f t="shared" si="19"/>
        <v>86523978</v>
      </c>
      <c r="I53" s="1061">
        <f t="shared" si="19"/>
        <v>186292935</v>
      </c>
      <c r="J53" s="1061">
        <f t="shared" si="19"/>
        <v>44745000</v>
      </c>
      <c r="K53" s="1061">
        <f t="shared" si="19"/>
        <v>0</v>
      </c>
      <c r="L53" s="1061">
        <f t="shared" si="19"/>
        <v>726750</v>
      </c>
      <c r="M53" s="1061">
        <f t="shared" si="19"/>
        <v>0</v>
      </c>
      <c r="N53" s="1061">
        <f t="shared" si="19"/>
        <v>76394901</v>
      </c>
      <c r="O53" s="1061">
        <f t="shared" si="19"/>
        <v>103784754</v>
      </c>
      <c r="P53" s="1061">
        <f t="shared" si="19"/>
        <v>103784754</v>
      </c>
      <c r="Q53" s="1061">
        <f t="shared" si="19"/>
        <v>92272878</v>
      </c>
      <c r="R53" s="1061">
        <f t="shared" si="19"/>
        <v>4237050</v>
      </c>
      <c r="S53" s="1061">
        <f t="shared" si="19"/>
        <v>0</v>
      </c>
      <c r="T53" s="1061">
        <f t="shared" si="19"/>
        <v>594000</v>
      </c>
      <c r="U53" s="1061">
        <f t="shared" si="19"/>
        <v>5427000</v>
      </c>
      <c r="V53" s="1061">
        <f t="shared" si="19"/>
        <v>0</v>
      </c>
      <c r="W53" s="1061">
        <f t="shared" si="19"/>
        <v>3261300</v>
      </c>
      <c r="X53" s="1061">
        <f t="shared" si="19"/>
        <v>0</v>
      </c>
      <c r="Y53" s="1061">
        <f t="shared" si="19"/>
        <v>1896318240</v>
      </c>
      <c r="Z53" s="1055"/>
    </row>
    <row r="54" spans="1:27" hidden="1">
      <c r="G54" s="1065">
        <f>935700006/10000000</f>
        <v>93.5700006</v>
      </c>
      <c r="H54" s="1065">
        <f>+G54+Y50/Y53</f>
        <v>93.880551180370944</v>
      </c>
      <c r="I54" s="1065"/>
      <c r="Y54" s="1054"/>
      <c r="Z54" s="1066">
        <f>+Y54-I54</f>
        <v>0</v>
      </c>
    </row>
    <row r="55" spans="1:27" hidden="1">
      <c r="G55" s="1057">
        <f>133947384/1000000</f>
        <v>133.947384</v>
      </c>
      <c r="H55" s="1057"/>
      <c r="I55" s="1057"/>
      <c r="Y55" s="1054"/>
      <c r="Z55" s="1066">
        <f>+Y55-I55</f>
        <v>0</v>
      </c>
    </row>
    <row r="56" spans="1:27" hidden="1">
      <c r="G56" s="1057">
        <f>488884376/10000000</f>
        <v>48.888437600000003</v>
      </c>
      <c r="H56" s="1057"/>
      <c r="I56" s="1057"/>
      <c r="Y56" s="1067"/>
      <c r="Z56" s="1066">
        <f>+Y56-I56/10000000</f>
        <v>0</v>
      </c>
    </row>
    <row r="57" spans="1:27" hidden="1">
      <c r="G57" s="1057">
        <f>SUM(G54:G56)</f>
        <v>276.40582219999999</v>
      </c>
      <c r="H57" s="1057"/>
      <c r="I57" s="1057"/>
      <c r="Y57" s="1052">
        <f>+Y56+Y55+Y54</f>
        <v>0</v>
      </c>
    </row>
    <row r="58" spans="1:27" hidden="1">
      <c r="G58" s="1057">
        <f>+G45/1000000</f>
        <v>276.40176600000001</v>
      </c>
      <c r="H58" s="1057"/>
      <c r="I58" s="1057"/>
    </row>
    <row r="59" spans="1:27" hidden="1">
      <c r="G59" s="1057">
        <f>+G57-G58</f>
        <v>4.0561999999795262E-3</v>
      </c>
      <c r="H59" s="1057"/>
      <c r="I59" s="1057"/>
    </row>
    <row r="60" spans="1:27" hidden="1">
      <c r="G60" s="1066">
        <f>+G56+G55</f>
        <v>182.8358216</v>
      </c>
    </row>
    <row r="61" spans="1:27" hidden="1"/>
    <row r="62" spans="1:27" hidden="1">
      <c r="G62" s="1">
        <v>47282997</v>
      </c>
      <c r="H62" s="1">
        <f>G62/1000000</f>
        <v>47.282997000000002</v>
      </c>
    </row>
    <row r="63" spans="1:27" hidden="1">
      <c r="G63" s="1">
        <f>2466339+3638946+9643209+6222060+5720334+1391406+7684272</f>
        <v>36766566</v>
      </c>
      <c r="H63" s="1">
        <f t="shared" ref="H63:H65" si="20">G63/1000000</f>
        <v>36.766565999999997</v>
      </c>
    </row>
    <row r="64" spans="1:27" hidden="1">
      <c r="G64" s="1">
        <f>707037+497037+2591811+1733559+1158363+502746+1101876</f>
        <v>8292429</v>
      </c>
      <c r="H64" s="1">
        <f t="shared" si="20"/>
        <v>8.2924290000000003</v>
      </c>
    </row>
    <row r="65" spans="7:8" hidden="1">
      <c r="G65" s="1">
        <f>SUM(G62:G64)</f>
        <v>92341992</v>
      </c>
      <c r="H65" s="1">
        <f t="shared" si="20"/>
        <v>92.341992000000005</v>
      </c>
    </row>
    <row r="66" spans="7:8" hidden="1">
      <c r="G66" s="1055">
        <f>+G54</f>
        <v>93.5700006</v>
      </c>
      <c r="H66" s="1055">
        <f>+G54</f>
        <v>93.5700006</v>
      </c>
    </row>
    <row r="67" spans="7:8" hidden="1">
      <c r="H67" s="1055">
        <f>+H66-H65</f>
        <v>1.2280085999999955</v>
      </c>
    </row>
    <row r="68" spans="7:8" hidden="1"/>
  </sheetData>
  <mergeCells count="37">
    <mergeCell ref="A46:Y46"/>
    <mergeCell ref="A40:B40"/>
    <mergeCell ref="A41:Y41"/>
    <mergeCell ref="A42:B42"/>
    <mergeCell ref="A43:B43"/>
    <mergeCell ref="A44:B44"/>
    <mergeCell ref="A45:B45"/>
    <mergeCell ref="A39:B39"/>
    <mergeCell ref="A28:B28"/>
    <mergeCell ref="A29:Y29"/>
    <mergeCell ref="A30:B30"/>
    <mergeCell ref="A31:B31"/>
    <mergeCell ref="A32:B32"/>
    <mergeCell ref="A33:Y33"/>
    <mergeCell ref="A34:B34"/>
    <mergeCell ref="A35:B35"/>
    <mergeCell ref="A36:B36"/>
    <mergeCell ref="A37:Y37"/>
    <mergeCell ref="A38:B38"/>
    <mergeCell ref="A27:B27"/>
    <mergeCell ref="A16:B16"/>
    <mergeCell ref="A17:Y17"/>
    <mergeCell ref="A18:B18"/>
    <mergeCell ref="A19:B19"/>
    <mergeCell ref="A20:B20"/>
    <mergeCell ref="A21:Y21"/>
    <mergeCell ref="A22:B22"/>
    <mergeCell ref="A23:B23"/>
    <mergeCell ref="A24:B24"/>
    <mergeCell ref="A25:Y25"/>
    <mergeCell ref="A26:B26"/>
    <mergeCell ref="A11:Y11"/>
    <mergeCell ref="W1:Y1"/>
    <mergeCell ref="A2:Y2"/>
    <mergeCell ref="A4:Y4"/>
    <mergeCell ref="X5:Y5"/>
    <mergeCell ref="M6:M8"/>
  </mergeCells>
  <printOptions horizontalCentered="1"/>
  <pageMargins left="0.5" right="0.25" top="0.75" bottom="0.25" header="0.5" footer="0.5"/>
  <pageSetup paperSize="9" scale="72" orientation="landscape" r:id="rId1"/>
  <headerFooter alignWithMargins="0"/>
  <rowBreaks count="1" manualBreakCount="1">
    <brk id="34" max="2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AA64"/>
  <sheetViews>
    <sheetView view="pageBreakPreview" topLeftCell="A3" zoomScaleSheetLayoutView="100" workbookViewId="0">
      <pane ySplit="8" topLeftCell="A35" activePane="bottomLeft" state="frozen"/>
      <selection activeCell="A3" sqref="A3"/>
      <selection pane="bottomLeft" activeCell="I45" sqref="I45"/>
    </sheetView>
  </sheetViews>
  <sheetFormatPr defaultRowHeight="12.75"/>
  <cols>
    <col min="1" max="1" width="4.7109375" style="92" customWidth="1"/>
    <col min="2" max="2" width="16.28515625" style="92" customWidth="1"/>
    <col min="3" max="3" width="9.7109375" style="1" customWidth="1"/>
    <col min="4" max="5" width="5.5703125" style="1" bestFit="1" customWidth="1"/>
    <col min="6" max="6" width="6.5703125" style="1" bestFit="1" customWidth="1"/>
    <col min="7" max="7" width="8.7109375" style="1" bestFit="1" customWidth="1"/>
    <col min="8" max="8" width="7.7109375" style="1" bestFit="1" customWidth="1"/>
    <col min="9" max="9" width="8.7109375" style="1" bestFit="1" customWidth="1"/>
    <col min="10" max="10" width="9" style="1" bestFit="1" customWidth="1"/>
    <col min="11" max="11" width="8.85546875" style="1" bestFit="1" customWidth="1"/>
    <col min="12" max="12" width="8" style="1" bestFit="1" customWidth="1"/>
    <col min="13" max="13" width="5.85546875" style="1" customWidth="1"/>
    <col min="14" max="14" width="6.5703125" style="1" customWidth="1"/>
    <col min="15" max="17" width="7.28515625" style="1" customWidth="1"/>
    <col min="18" max="18" width="7.42578125" style="1" customWidth="1"/>
    <col min="19" max="19" width="6.28515625" style="1" bestFit="1" customWidth="1"/>
    <col min="20" max="20" width="7.140625" style="1" bestFit="1" customWidth="1"/>
    <col min="21" max="22" width="5.5703125" style="1" bestFit="1" customWidth="1"/>
    <col min="23" max="24" width="6.28515625" style="1" customWidth="1"/>
    <col min="25" max="25" width="10.28515625" style="28" bestFit="1" customWidth="1"/>
    <col min="26" max="26" width="10.28515625" style="1" bestFit="1" customWidth="1"/>
    <col min="27" max="27" width="14" style="1" customWidth="1"/>
    <col min="28" max="257" width="9.140625" style="1"/>
    <col min="258" max="258" width="4.7109375" style="1" customWidth="1"/>
    <col min="259" max="259" width="16.28515625" style="1" customWidth="1"/>
    <col min="260" max="260" width="9.7109375" style="1" customWidth="1"/>
    <col min="261" max="262" width="5.5703125" style="1" bestFit="1" customWidth="1"/>
    <col min="263" max="263" width="6.5703125" style="1" bestFit="1" customWidth="1"/>
    <col min="264" max="264" width="6.85546875" style="1" bestFit="1" customWidth="1"/>
    <col min="265" max="265" width="7.140625" style="1" bestFit="1" customWidth="1"/>
    <col min="266" max="266" width="7" style="1" bestFit="1" customWidth="1"/>
    <col min="267" max="267" width="9" style="1" bestFit="1" customWidth="1"/>
    <col min="268" max="268" width="8.85546875" style="1" bestFit="1" customWidth="1"/>
    <col min="269" max="269" width="8" style="1" bestFit="1" customWidth="1"/>
    <col min="270" max="271" width="5.85546875" style="1" customWidth="1"/>
    <col min="272" max="273" width="7.28515625" style="1" customWidth="1"/>
    <col min="274" max="274" width="7.42578125" style="1" customWidth="1"/>
    <col min="275" max="275" width="6.28515625" style="1" bestFit="1" customWidth="1"/>
    <col min="276" max="276" width="7.140625" style="1" bestFit="1" customWidth="1"/>
    <col min="277" max="278" width="5.5703125" style="1" bestFit="1" customWidth="1"/>
    <col min="279" max="280" width="6.28515625" style="1" customWidth="1"/>
    <col min="281" max="281" width="7.7109375" style="1" customWidth="1"/>
    <col min="282" max="513" width="9.140625" style="1"/>
    <col min="514" max="514" width="4.7109375" style="1" customWidth="1"/>
    <col min="515" max="515" width="16.28515625" style="1" customWidth="1"/>
    <col min="516" max="516" width="9.7109375" style="1" customWidth="1"/>
    <col min="517" max="518" width="5.5703125" style="1" bestFit="1" customWidth="1"/>
    <col min="519" max="519" width="6.5703125" style="1" bestFit="1" customWidth="1"/>
    <col min="520" max="520" width="6.85546875" style="1" bestFit="1" customWidth="1"/>
    <col min="521" max="521" width="7.140625" style="1" bestFit="1" customWidth="1"/>
    <col min="522" max="522" width="7" style="1" bestFit="1" customWidth="1"/>
    <col min="523" max="523" width="9" style="1" bestFit="1" customWidth="1"/>
    <col min="524" max="524" width="8.85546875" style="1" bestFit="1" customWidth="1"/>
    <col min="525" max="525" width="8" style="1" bestFit="1" customWidth="1"/>
    <col min="526" max="527" width="5.85546875" style="1" customWidth="1"/>
    <col min="528" max="529" width="7.28515625" style="1" customWidth="1"/>
    <col min="530" max="530" width="7.42578125" style="1" customWidth="1"/>
    <col min="531" max="531" width="6.28515625" style="1" bestFit="1" customWidth="1"/>
    <col min="532" max="532" width="7.140625" style="1" bestFit="1" customWidth="1"/>
    <col min="533" max="534" width="5.5703125" style="1" bestFit="1" customWidth="1"/>
    <col min="535" max="536" width="6.28515625" style="1" customWidth="1"/>
    <col min="537" max="537" width="7.7109375" style="1" customWidth="1"/>
    <col min="538" max="769" width="9.140625" style="1"/>
    <col min="770" max="770" width="4.7109375" style="1" customWidth="1"/>
    <col min="771" max="771" width="16.28515625" style="1" customWidth="1"/>
    <col min="772" max="772" width="9.7109375" style="1" customWidth="1"/>
    <col min="773" max="774" width="5.5703125" style="1" bestFit="1" customWidth="1"/>
    <col min="775" max="775" width="6.5703125" style="1" bestFit="1" customWidth="1"/>
    <col min="776" max="776" width="6.85546875" style="1" bestFit="1" customWidth="1"/>
    <col min="777" max="777" width="7.140625" style="1" bestFit="1" customWidth="1"/>
    <col min="778" max="778" width="7" style="1" bestFit="1" customWidth="1"/>
    <col min="779" max="779" width="9" style="1" bestFit="1" customWidth="1"/>
    <col min="780" max="780" width="8.85546875" style="1" bestFit="1" customWidth="1"/>
    <col min="781" max="781" width="8" style="1" bestFit="1" customWidth="1"/>
    <col min="782" max="783" width="5.85546875" style="1" customWidth="1"/>
    <col min="784" max="785" width="7.28515625" style="1" customWidth="1"/>
    <col min="786" max="786" width="7.42578125" style="1" customWidth="1"/>
    <col min="787" max="787" width="6.28515625" style="1" bestFit="1" customWidth="1"/>
    <col min="788" max="788" width="7.140625" style="1" bestFit="1" customWidth="1"/>
    <col min="789" max="790" width="5.5703125" style="1" bestFit="1" customWidth="1"/>
    <col min="791" max="792" width="6.28515625" style="1" customWidth="1"/>
    <col min="793" max="793" width="7.7109375" style="1" customWidth="1"/>
    <col min="794" max="1025" width="9.140625" style="1"/>
    <col min="1026" max="1026" width="4.7109375" style="1" customWidth="1"/>
    <col min="1027" max="1027" width="16.28515625" style="1" customWidth="1"/>
    <col min="1028" max="1028" width="9.7109375" style="1" customWidth="1"/>
    <col min="1029" max="1030" width="5.5703125" style="1" bestFit="1" customWidth="1"/>
    <col min="1031" max="1031" width="6.5703125" style="1" bestFit="1" customWidth="1"/>
    <col min="1032" max="1032" width="6.85546875" style="1" bestFit="1" customWidth="1"/>
    <col min="1033" max="1033" width="7.140625" style="1" bestFit="1" customWidth="1"/>
    <col min="1034" max="1034" width="7" style="1" bestFit="1" customWidth="1"/>
    <col min="1035" max="1035" width="9" style="1" bestFit="1" customWidth="1"/>
    <col min="1036" max="1036" width="8.85546875" style="1" bestFit="1" customWidth="1"/>
    <col min="1037" max="1037" width="8" style="1" bestFit="1" customWidth="1"/>
    <col min="1038" max="1039" width="5.85546875" style="1" customWidth="1"/>
    <col min="1040" max="1041" width="7.28515625" style="1" customWidth="1"/>
    <col min="1042" max="1042" width="7.42578125" style="1" customWidth="1"/>
    <col min="1043" max="1043" width="6.28515625" style="1" bestFit="1" customWidth="1"/>
    <col min="1044" max="1044" width="7.140625" style="1" bestFit="1" customWidth="1"/>
    <col min="1045" max="1046" width="5.5703125" style="1" bestFit="1" customWidth="1"/>
    <col min="1047" max="1048" width="6.28515625" style="1" customWidth="1"/>
    <col min="1049" max="1049" width="7.7109375" style="1" customWidth="1"/>
    <col min="1050" max="1281" width="9.140625" style="1"/>
    <col min="1282" max="1282" width="4.7109375" style="1" customWidth="1"/>
    <col min="1283" max="1283" width="16.28515625" style="1" customWidth="1"/>
    <col min="1284" max="1284" width="9.7109375" style="1" customWidth="1"/>
    <col min="1285" max="1286" width="5.5703125" style="1" bestFit="1" customWidth="1"/>
    <col min="1287" max="1287" width="6.5703125" style="1" bestFit="1" customWidth="1"/>
    <col min="1288" max="1288" width="6.85546875" style="1" bestFit="1" customWidth="1"/>
    <col min="1289" max="1289" width="7.140625" style="1" bestFit="1" customWidth="1"/>
    <col min="1290" max="1290" width="7" style="1" bestFit="1" customWidth="1"/>
    <col min="1291" max="1291" width="9" style="1" bestFit="1" customWidth="1"/>
    <col min="1292" max="1292" width="8.85546875" style="1" bestFit="1" customWidth="1"/>
    <col min="1293" max="1293" width="8" style="1" bestFit="1" customWidth="1"/>
    <col min="1294" max="1295" width="5.85546875" style="1" customWidth="1"/>
    <col min="1296" max="1297" width="7.28515625" style="1" customWidth="1"/>
    <col min="1298" max="1298" width="7.42578125" style="1" customWidth="1"/>
    <col min="1299" max="1299" width="6.28515625" style="1" bestFit="1" customWidth="1"/>
    <col min="1300" max="1300" width="7.140625" style="1" bestFit="1" customWidth="1"/>
    <col min="1301" max="1302" width="5.5703125" style="1" bestFit="1" customWidth="1"/>
    <col min="1303" max="1304" width="6.28515625" style="1" customWidth="1"/>
    <col min="1305" max="1305" width="7.7109375" style="1" customWidth="1"/>
    <col min="1306" max="1537" width="9.140625" style="1"/>
    <col min="1538" max="1538" width="4.7109375" style="1" customWidth="1"/>
    <col min="1539" max="1539" width="16.28515625" style="1" customWidth="1"/>
    <col min="1540" max="1540" width="9.7109375" style="1" customWidth="1"/>
    <col min="1541" max="1542" width="5.5703125" style="1" bestFit="1" customWidth="1"/>
    <col min="1543" max="1543" width="6.5703125" style="1" bestFit="1" customWidth="1"/>
    <col min="1544" max="1544" width="6.85546875" style="1" bestFit="1" customWidth="1"/>
    <col min="1545" max="1545" width="7.140625" style="1" bestFit="1" customWidth="1"/>
    <col min="1546" max="1546" width="7" style="1" bestFit="1" customWidth="1"/>
    <col min="1547" max="1547" width="9" style="1" bestFit="1" customWidth="1"/>
    <col min="1548" max="1548" width="8.85546875" style="1" bestFit="1" customWidth="1"/>
    <col min="1549" max="1549" width="8" style="1" bestFit="1" customWidth="1"/>
    <col min="1550" max="1551" width="5.85546875" style="1" customWidth="1"/>
    <col min="1552" max="1553" width="7.28515625" style="1" customWidth="1"/>
    <col min="1554" max="1554" width="7.42578125" style="1" customWidth="1"/>
    <col min="1555" max="1555" width="6.28515625" style="1" bestFit="1" customWidth="1"/>
    <col min="1556" max="1556" width="7.140625" style="1" bestFit="1" customWidth="1"/>
    <col min="1557" max="1558" width="5.5703125" style="1" bestFit="1" customWidth="1"/>
    <col min="1559" max="1560" width="6.28515625" style="1" customWidth="1"/>
    <col min="1561" max="1561" width="7.7109375" style="1" customWidth="1"/>
    <col min="1562" max="1793" width="9.140625" style="1"/>
    <col min="1794" max="1794" width="4.7109375" style="1" customWidth="1"/>
    <col min="1795" max="1795" width="16.28515625" style="1" customWidth="1"/>
    <col min="1796" max="1796" width="9.7109375" style="1" customWidth="1"/>
    <col min="1797" max="1798" width="5.5703125" style="1" bestFit="1" customWidth="1"/>
    <col min="1799" max="1799" width="6.5703125" style="1" bestFit="1" customWidth="1"/>
    <col min="1800" max="1800" width="6.85546875" style="1" bestFit="1" customWidth="1"/>
    <col min="1801" max="1801" width="7.140625" style="1" bestFit="1" customWidth="1"/>
    <col min="1802" max="1802" width="7" style="1" bestFit="1" customWidth="1"/>
    <col min="1803" max="1803" width="9" style="1" bestFit="1" customWidth="1"/>
    <col min="1804" max="1804" width="8.85546875" style="1" bestFit="1" customWidth="1"/>
    <col min="1805" max="1805" width="8" style="1" bestFit="1" customWidth="1"/>
    <col min="1806" max="1807" width="5.85546875" style="1" customWidth="1"/>
    <col min="1808" max="1809" width="7.28515625" style="1" customWidth="1"/>
    <col min="1810" max="1810" width="7.42578125" style="1" customWidth="1"/>
    <col min="1811" max="1811" width="6.28515625" style="1" bestFit="1" customWidth="1"/>
    <col min="1812" max="1812" width="7.140625" style="1" bestFit="1" customWidth="1"/>
    <col min="1813" max="1814" width="5.5703125" style="1" bestFit="1" customWidth="1"/>
    <col min="1815" max="1816" width="6.28515625" style="1" customWidth="1"/>
    <col min="1817" max="1817" width="7.7109375" style="1" customWidth="1"/>
    <col min="1818" max="2049" width="9.140625" style="1"/>
    <col min="2050" max="2050" width="4.7109375" style="1" customWidth="1"/>
    <col min="2051" max="2051" width="16.28515625" style="1" customWidth="1"/>
    <col min="2052" max="2052" width="9.7109375" style="1" customWidth="1"/>
    <col min="2053" max="2054" width="5.5703125" style="1" bestFit="1" customWidth="1"/>
    <col min="2055" max="2055" width="6.5703125" style="1" bestFit="1" customWidth="1"/>
    <col min="2056" max="2056" width="6.85546875" style="1" bestFit="1" customWidth="1"/>
    <col min="2057" max="2057" width="7.140625" style="1" bestFit="1" customWidth="1"/>
    <col min="2058" max="2058" width="7" style="1" bestFit="1" customWidth="1"/>
    <col min="2059" max="2059" width="9" style="1" bestFit="1" customWidth="1"/>
    <col min="2060" max="2060" width="8.85546875" style="1" bestFit="1" customWidth="1"/>
    <col min="2061" max="2061" width="8" style="1" bestFit="1" customWidth="1"/>
    <col min="2062" max="2063" width="5.85546875" style="1" customWidth="1"/>
    <col min="2064" max="2065" width="7.28515625" style="1" customWidth="1"/>
    <col min="2066" max="2066" width="7.42578125" style="1" customWidth="1"/>
    <col min="2067" max="2067" width="6.28515625" style="1" bestFit="1" customWidth="1"/>
    <col min="2068" max="2068" width="7.140625" style="1" bestFit="1" customWidth="1"/>
    <col min="2069" max="2070" width="5.5703125" style="1" bestFit="1" customWidth="1"/>
    <col min="2071" max="2072" width="6.28515625" style="1" customWidth="1"/>
    <col min="2073" max="2073" width="7.7109375" style="1" customWidth="1"/>
    <col min="2074" max="2305" width="9.140625" style="1"/>
    <col min="2306" max="2306" width="4.7109375" style="1" customWidth="1"/>
    <col min="2307" max="2307" width="16.28515625" style="1" customWidth="1"/>
    <col min="2308" max="2308" width="9.7109375" style="1" customWidth="1"/>
    <col min="2309" max="2310" width="5.5703125" style="1" bestFit="1" customWidth="1"/>
    <col min="2311" max="2311" width="6.5703125" style="1" bestFit="1" customWidth="1"/>
    <col min="2312" max="2312" width="6.85546875" style="1" bestFit="1" customWidth="1"/>
    <col min="2313" max="2313" width="7.140625" style="1" bestFit="1" customWidth="1"/>
    <col min="2314" max="2314" width="7" style="1" bestFit="1" customWidth="1"/>
    <col min="2315" max="2315" width="9" style="1" bestFit="1" customWidth="1"/>
    <col min="2316" max="2316" width="8.85546875" style="1" bestFit="1" customWidth="1"/>
    <col min="2317" max="2317" width="8" style="1" bestFit="1" customWidth="1"/>
    <col min="2318" max="2319" width="5.85546875" style="1" customWidth="1"/>
    <col min="2320" max="2321" width="7.28515625" style="1" customWidth="1"/>
    <col min="2322" max="2322" width="7.42578125" style="1" customWidth="1"/>
    <col min="2323" max="2323" width="6.28515625" style="1" bestFit="1" customWidth="1"/>
    <col min="2324" max="2324" width="7.140625" style="1" bestFit="1" customWidth="1"/>
    <col min="2325" max="2326" width="5.5703125" style="1" bestFit="1" customWidth="1"/>
    <col min="2327" max="2328" width="6.28515625" style="1" customWidth="1"/>
    <col min="2329" max="2329" width="7.7109375" style="1" customWidth="1"/>
    <col min="2330" max="2561" width="9.140625" style="1"/>
    <col min="2562" max="2562" width="4.7109375" style="1" customWidth="1"/>
    <col min="2563" max="2563" width="16.28515625" style="1" customWidth="1"/>
    <col min="2564" max="2564" width="9.7109375" style="1" customWidth="1"/>
    <col min="2565" max="2566" width="5.5703125" style="1" bestFit="1" customWidth="1"/>
    <col min="2567" max="2567" width="6.5703125" style="1" bestFit="1" customWidth="1"/>
    <col min="2568" max="2568" width="6.85546875" style="1" bestFit="1" customWidth="1"/>
    <col min="2569" max="2569" width="7.140625" style="1" bestFit="1" customWidth="1"/>
    <col min="2570" max="2570" width="7" style="1" bestFit="1" customWidth="1"/>
    <col min="2571" max="2571" width="9" style="1" bestFit="1" customWidth="1"/>
    <col min="2572" max="2572" width="8.85546875" style="1" bestFit="1" customWidth="1"/>
    <col min="2573" max="2573" width="8" style="1" bestFit="1" customWidth="1"/>
    <col min="2574" max="2575" width="5.85546875" style="1" customWidth="1"/>
    <col min="2576" max="2577" width="7.28515625" style="1" customWidth="1"/>
    <col min="2578" max="2578" width="7.42578125" style="1" customWidth="1"/>
    <col min="2579" max="2579" width="6.28515625" style="1" bestFit="1" customWidth="1"/>
    <col min="2580" max="2580" width="7.140625" style="1" bestFit="1" customWidth="1"/>
    <col min="2581" max="2582" width="5.5703125" style="1" bestFit="1" customWidth="1"/>
    <col min="2583" max="2584" width="6.28515625" style="1" customWidth="1"/>
    <col min="2585" max="2585" width="7.7109375" style="1" customWidth="1"/>
    <col min="2586" max="2817" width="9.140625" style="1"/>
    <col min="2818" max="2818" width="4.7109375" style="1" customWidth="1"/>
    <col min="2819" max="2819" width="16.28515625" style="1" customWidth="1"/>
    <col min="2820" max="2820" width="9.7109375" style="1" customWidth="1"/>
    <col min="2821" max="2822" width="5.5703125" style="1" bestFit="1" customWidth="1"/>
    <col min="2823" max="2823" width="6.5703125" style="1" bestFit="1" customWidth="1"/>
    <col min="2824" max="2824" width="6.85546875" style="1" bestFit="1" customWidth="1"/>
    <col min="2825" max="2825" width="7.140625" style="1" bestFit="1" customWidth="1"/>
    <col min="2826" max="2826" width="7" style="1" bestFit="1" customWidth="1"/>
    <col min="2827" max="2827" width="9" style="1" bestFit="1" customWidth="1"/>
    <col min="2828" max="2828" width="8.85546875" style="1" bestFit="1" customWidth="1"/>
    <col min="2829" max="2829" width="8" style="1" bestFit="1" customWidth="1"/>
    <col min="2830" max="2831" width="5.85546875" style="1" customWidth="1"/>
    <col min="2832" max="2833" width="7.28515625" style="1" customWidth="1"/>
    <col min="2834" max="2834" width="7.42578125" style="1" customWidth="1"/>
    <col min="2835" max="2835" width="6.28515625" style="1" bestFit="1" customWidth="1"/>
    <col min="2836" max="2836" width="7.140625" style="1" bestFit="1" customWidth="1"/>
    <col min="2837" max="2838" width="5.5703125" style="1" bestFit="1" customWidth="1"/>
    <col min="2839" max="2840" width="6.28515625" style="1" customWidth="1"/>
    <col min="2841" max="2841" width="7.7109375" style="1" customWidth="1"/>
    <col min="2842" max="3073" width="9.140625" style="1"/>
    <col min="3074" max="3074" width="4.7109375" style="1" customWidth="1"/>
    <col min="3075" max="3075" width="16.28515625" style="1" customWidth="1"/>
    <col min="3076" max="3076" width="9.7109375" style="1" customWidth="1"/>
    <col min="3077" max="3078" width="5.5703125" style="1" bestFit="1" customWidth="1"/>
    <col min="3079" max="3079" width="6.5703125" style="1" bestFit="1" customWidth="1"/>
    <col min="3080" max="3080" width="6.85546875" style="1" bestFit="1" customWidth="1"/>
    <col min="3081" max="3081" width="7.140625" style="1" bestFit="1" customWidth="1"/>
    <col min="3082" max="3082" width="7" style="1" bestFit="1" customWidth="1"/>
    <col min="3083" max="3083" width="9" style="1" bestFit="1" customWidth="1"/>
    <col min="3084" max="3084" width="8.85546875" style="1" bestFit="1" customWidth="1"/>
    <col min="3085" max="3085" width="8" style="1" bestFit="1" customWidth="1"/>
    <col min="3086" max="3087" width="5.85546875" style="1" customWidth="1"/>
    <col min="3088" max="3089" width="7.28515625" style="1" customWidth="1"/>
    <col min="3090" max="3090" width="7.42578125" style="1" customWidth="1"/>
    <col min="3091" max="3091" width="6.28515625" style="1" bestFit="1" customWidth="1"/>
    <col min="3092" max="3092" width="7.140625" style="1" bestFit="1" customWidth="1"/>
    <col min="3093" max="3094" width="5.5703125" style="1" bestFit="1" customWidth="1"/>
    <col min="3095" max="3096" width="6.28515625" style="1" customWidth="1"/>
    <col min="3097" max="3097" width="7.7109375" style="1" customWidth="1"/>
    <col min="3098" max="3329" width="9.140625" style="1"/>
    <col min="3330" max="3330" width="4.7109375" style="1" customWidth="1"/>
    <col min="3331" max="3331" width="16.28515625" style="1" customWidth="1"/>
    <col min="3332" max="3332" width="9.7109375" style="1" customWidth="1"/>
    <col min="3333" max="3334" width="5.5703125" style="1" bestFit="1" customWidth="1"/>
    <col min="3335" max="3335" width="6.5703125" style="1" bestFit="1" customWidth="1"/>
    <col min="3336" max="3336" width="6.85546875" style="1" bestFit="1" customWidth="1"/>
    <col min="3337" max="3337" width="7.140625" style="1" bestFit="1" customWidth="1"/>
    <col min="3338" max="3338" width="7" style="1" bestFit="1" customWidth="1"/>
    <col min="3339" max="3339" width="9" style="1" bestFit="1" customWidth="1"/>
    <col min="3340" max="3340" width="8.85546875" style="1" bestFit="1" customWidth="1"/>
    <col min="3341" max="3341" width="8" style="1" bestFit="1" customWidth="1"/>
    <col min="3342" max="3343" width="5.85546875" style="1" customWidth="1"/>
    <col min="3344" max="3345" width="7.28515625" style="1" customWidth="1"/>
    <col min="3346" max="3346" width="7.42578125" style="1" customWidth="1"/>
    <col min="3347" max="3347" width="6.28515625" style="1" bestFit="1" customWidth="1"/>
    <col min="3348" max="3348" width="7.140625" style="1" bestFit="1" customWidth="1"/>
    <col min="3349" max="3350" width="5.5703125" style="1" bestFit="1" customWidth="1"/>
    <col min="3351" max="3352" width="6.28515625" style="1" customWidth="1"/>
    <col min="3353" max="3353" width="7.7109375" style="1" customWidth="1"/>
    <col min="3354" max="3585" width="9.140625" style="1"/>
    <col min="3586" max="3586" width="4.7109375" style="1" customWidth="1"/>
    <col min="3587" max="3587" width="16.28515625" style="1" customWidth="1"/>
    <col min="3588" max="3588" width="9.7109375" style="1" customWidth="1"/>
    <col min="3589" max="3590" width="5.5703125" style="1" bestFit="1" customWidth="1"/>
    <col min="3591" max="3591" width="6.5703125" style="1" bestFit="1" customWidth="1"/>
    <col min="3592" max="3592" width="6.85546875" style="1" bestFit="1" customWidth="1"/>
    <col min="3593" max="3593" width="7.140625" style="1" bestFit="1" customWidth="1"/>
    <col min="3594" max="3594" width="7" style="1" bestFit="1" customWidth="1"/>
    <col min="3595" max="3595" width="9" style="1" bestFit="1" customWidth="1"/>
    <col min="3596" max="3596" width="8.85546875" style="1" bestFit="1" customWidth="1"/>
    <col min="3597" max="3597" width="8" style="1" bestFit="1" customWidth="1"/>
    <col min="3598" max="3599" width="5.85546875" style="1" customWidth="1"/>
    <col min="3600" max="3601" width="7.28515625" style="1" customWidth="1"/>
    <col min="3602" max="3602" width="7.42578125" style="1" customWidth="1"/>
    <col min="3603" max="3603" width="6.28515625" style="1" bestFit="1" customWidth="1"/>
    <col min="3604" max="3604" width="7.140625" style="1" bestFit="1" customWidth="1"/>
    <col min="3605" max="3606" width="5.5703125" style="1" bestFit="1" customWidth="1"/>
    <col min="3607" max="3608" width="6.28515625" style="1" customWidth="1"/>
    <col min="3609" max="3609" width="7.7109375" style="1" customWidth="1"/>
    <col min="3610" max="3841" width="9.140625" style="1"/>
    <col min="3842" max="3842" width="4.7109375" style="1" customWidth="1"/>
    <col min="3843" max="3843" width="16.28515625" style="1" customWidth="1"/>
    <col min="3844" max="3844" width="9.7109375" style="1" customWidth="1"/>
    <col min="3845" max="3846" width="5.5703125" style="1" bestFit="1" customWidth="1"/>
    <col min="3847" max="3847" width="6.5703125" style="1" bestFit="1" customWidth="1"/>
    <col min="3848" max="3848" width="6.85546875" style="1" bestFit="1" customWidth="1"/>
    <col min="3849" max="3849" width="7.140625" style="1" bestFit="1" customWidth="1"/>
    <col min="3850" max="3850" width="7" style="1" bestFit="1" customWidth="1"/>
    <col min="3851" max="3851" width="9" style="1" bestFit="1" customWidth="1"/>
    <col min="3852" max="3852" width="8.85546875" style="1" bestFit="1" customWidth="1"/>
    <col min="3853" max="3853" width="8" style="1" bestFit="1" customWidth="1"/>
    <col min="3854" max="3855" width="5.85546875" style="1" customWidth="1"/>
    <col min="3856" max="3857" width="7.28515625" style="1" customWidth="1"/>
    <col min="3858" max="3858" width="7.42578125" style="1" customWidth="1"/>
    <col min="3859" max="3859" width="6.28515625" style="1" bestFit="1" customWidth="1"/>
    <col min="3860" max="3860" width="7.140625" style="1" bestFit="1" customWidth="1"/>
    <col min="3861" max="3862" width="5.5703125" style="1" bestFit="1" customWidth="1"/>
    <col min="3863" max="3864" width="6.28515625" style="1" customWidth="1"/>
    <col min="3865" max="3865" width="7.7109375" style="1" customWidth="1"/>
    <col min="3866" max="4097" width="9.140625" style="1"/>
    <col min="4098" max="4098" width="4.7109375" style="1" customWidth="1"/>
    <col min="4099" max="4099" width="16.28515625" style="1" customWidth="1"/>
    <col min="4100" max="4100" width="9.7109375" style="1" customWidth="1"/>
    <col min="4101" max="4102" width="5.5703125" style="1" bestFit="1" customWidth="1"/>
    <col min="4103" max="4103" width="6.5703125" style="1" bestFit="1" customWidth="1"/>
    <col min="4104" max="4104" width="6.85546875" style="1" bestFit="1" customWidth="1"/>
    <col min="4105" max="4105" width="7.140625" style="1" bestFit="1" customWidth="1"/>
    <col min="4106" max="4106" width="7" style="1" bestFit="1" customWidth="1"/>
    <col min="4107" max="4107" width="9" style="1" bestFit="1" customWidth="1"/>
    <col min="4108" max="4108" width="8.85546875" style="1" bestFit="1" customWidth="1"/>
    <col min="4109" max="4109" width="8" style="1" bestFit="1" customWidth="1"/>
    <col min="4110" max="4111" width="5.85546875" style="1" customWidth="1"/>
    <col min="4112" max="4113" width="7.28515625" style="1" customWidth="1"/>
    <col min="4114" max="4114" width="7.42578125" style="1" customWidth="1"/>
    <col min="4115" max="4115" width="6.28515625" style="1" bestFit="1" customWidth="1"/>
    <col min="4116" max="4116" width="7.140625" style="1" bestFit="1" customWidth="1"/>
    <col min="4117" max="4118" width="5.5703125" style="1" bestFit="1" customWidth="1"/>
    <col min="4119" max="4120" width="6.28515625" style="1" customWidth="1"/>
    <col min="4121" max="4121" width="7.7109375" style="1" customWidth="1"/>
    <col min="4122" max="4353" width="9.140625" style="1"/>
    <col min="4354" max="4354" width="4.7109375" style="1" customWidth="1"/>
    <col min="4355" max="4355" width="16.28515625" style="1" customWidth="1"/>
    <col min="4356" max="4356" width="9.7109375" style="1" customWidth="1"/>
    <col min="4357" max="4358" width="5.5703125" style="1" bestFit="1" customWidth="1"/>
    <col min="4359" max="4359" width="6.5703125" style="1" bestFit="1" customWidth="1"/>
    <col min="4360" max="4360" width="6.85546875" style="1" bestFit="1" customWidth="1"/>
    <col min="4361" max="4361" width="7.140625" style="1" bestFit="1" customWidth="1"/>
    <col min="4362" max="4362" width="7" style="1" bestFit="1" customWidth="1"/>
    <col min="4363" max="4363" width="9" style="1" bestFit="1" customWidth="1"/>
    <col min="4364" max="4364" width="8.85546875" style="1" bestFit="1" customWidth="1"/>
    <col min="4365" max="4365" width="8" style="1" bestFit="1" customWidth="1"/>
    <col min="4366" max="4367" width="5.85546875" style="1" customWidth="1"/>
    <col min="4368" max="4369" width="7.28515625" style="1" customWidth="1"/>
    <col min="4370" max="4370" width="7.42578125" style="1" customWidth="1"/>
    <col min="4371" max="4371" width="6.28515625" style="1" bestFit="1" customWidth="1"/>
    <col min="4372" max="4372" width="7.140625" style="1" bestFit="1" customWidth="1"/>
    <col min="4373" max="4374" width="5.5703125" style="1" bestFit="1" customWidth="1"/>
    <col min="4375" max="4376" width="6.28515625" style="1" customWidth="1"/>
    <col min="4377" max="4377" width="7.7109375" style="1" customWidth="1"/>
    <col min="4378" max="4609" width="9.140625" style="1"/>
    <col min="4610" max="4610" width="4.7109375" style="1" customWidth="1"/>
    <col min="4611" max="4611" width="16.28515625" style="1" customWidth="1"/>
    <col min="4612" max="4612" width="9.7109375" style="1" customWidth="1"/>
    <col min="4613" max="4614" width="5.5703125" style="1" bestFit="1" customWidth="1"/>
    <col min="4615" max="4615" width="6.5703125" style="1" bestFit="1" customWidth="1"/>
    <col min="4616" max="4616" width="6.85546875" style="1" bestFit="1" customWidth="1"/>
    <col min="4617" max="4617" width="7.140625" style="1" bestFit="1" customWidth="1"/>
    <col min="4618" max="4618" width="7" style="1" bestFit="1" customWidth="1"/>
    <col min="4619" max="4619" width="9" style="1" bestFit="1" customWidth="1"/>
    <col min="4620" max="4620" width="8.85546875" style="1" bestFit="1" customWidth="1"/>
    <col min="4621" max="4621" width="8" style="1" bestFit="1" customWidth="1"/>
    <col min="4622" max="4623" width="5.85546875" style="1" customWidth="1"/>
    <col min="4624" max="4625" width="7.28515625" style="1" customWidth="1"/>
    <col min="4626" max="4626" width="7.42578125" style="1" customWidth="1"/>
    <col min="4627" max="4627" width="6.28515625" style="1" bestFit="1" customWidth="1"/>
    <col min="4628" max="4628" width="7.140625" style="1" bestFit="1" customWidth="1"/>
    <col min="4629" max="4630" width="5.5703125" style="1" bestFit="1" customWidth="1"/>
    <col min="4631" max="4632" width="6.28515625" style="1" customWidth="1"/>
    <col min="4633" max="4633" width="7.7109375" style="1" customWidth="1"/>
    <col min="4634" max="4865" width="9.140625" style="1"/>
    <col min="4866" max="4866" width="4.7109375" style="1" customWidth="1"/>
    <col min="4867" max="4867" width="16.28515625" style="1" customWidth="1"/>
    <col min="4868" max="4868" width="9.7109375" style="1" customWidth="1"/>
    <col min="4869" max="4870" width="5.5703125" style="1" bestFit="1" customWidth="1"/>
    <col min="4871" max="4871" width="6.5703125" style="1" bestFit="1" customWidth="1"/>
    <col min="4872" max="4872" width="6.85546875" style="1" bestFit="1" customWidth="1"/>
    <col min="4873" max="4873" width="7.140625" style="1" bestFit="1" customWidth="1"/>
    <col min="4874" max="4874" width="7" style="1" bestFit="1" customWidth="1"/>
    <col min="4875" max="4875" width="9" style="1" bestFit="1" customWidth="1"/>
    <col min="4876" max="4876" width="8.85546875" style="1" bestFit="1" customWidth="1"/>
    <col min="4877" max="4877" width="8" style="1" bestFit="1" customWidth="1"/>
    <col min="4878" max="4879" width="5.85546875" style="1" customWidth="1"/>
    <col min="4880" max="4881" width="7.28515625" style="1" customWidth="1"/>
    <col min="4882" max="4882" width="7.42578125" style="1" customWidth="1"/>
    <col min="4883" max="4883" width="6.28515625" style="1" bestFit="1" customWidth="1"/>
    <col min="4884" max="4884" width="7.140625" style="1" bestFit="1" customWidth="1"/>
    <col min="4885" max="4886" width="5.5703125" style="1" bestFit="1" customWidth="1"/>
    <col min="4887" max="4888" width="6.28515625" style="1" customWidth="1"/>
    <col min="4889" max="4889" width="7.7109375" style="1" customWidth="1"/>
    <col min="4890" max="5121" width="9.140625" style="1"/>
    <col min="5122" max="5122" width="4.7109375" style="1" customWidth="1"/>
    <col min="5123" max="5123" width="16.28515625" style="1" customWidth="1"/>
    <col min="5124" max="5124" width="9.7109375" style="1" customWidth="1"/>
    <col min="5125" max="5126" width="5.5703125" style="1" bestFit="1" customWidth="1"/>
    <col min="5127" max="5127" width="6.5703125" style="1" bestFit="1" customWidth="1"/>
    <col min="5128" max="5128" width="6.85546875" style="1" bestFit="1" customWidth="1"/>
    <col min="5129" max="5129" width="7.140625" style="1" bestFit="1" customWidth="1"/>
    <col min="5130" max="5130" width="7" style="1" bestFit="1" customWidth="1"/>
    <col min="5131" max="5131" width="9" style="1" bestFit="1" customWidth="1"/>
    <col min="5132" max="5132" width="8.85546875" style="1" bestFit="1" customWidth="1"/>
    <col min="5133" max="5133" width="8" style="1" bestFit="1" customWidth="1"/>
    <col min="5134" max="5135" width="5.85546875" style="1" customWidth="1"/>
    <col min="5136" max="5137" width="7.28515625" style="1" customWidth="1"/>
    <col min="5138" max="5138" width="7.42578125" style="1" customWidth="1"/>
    <col min="5139" max="5139" width="6.28515625" style="1" bestFit="1" customWidth="1"/>
    <col min="5140" max="5140" width="7.140625" style="1" bestFit="1" customWidth="1"/>
    <col min="5141" max="5142" width="5.5703125" style="1" bestFit="1" customWidth="1"/>
    <col min="5143" max="5144" width="6.28515625" style="1" customWidth="1"/>
    <col min="5145" max="5145" width="7.7109375" style="1" customWidth="1"/>
    <col min="5146" max="5377" width="9.140625" style="1"/>
    <col min="5378" max="5378" width="4.7109375" style="1" customWidth="1"/>
    <col min="5379" max="5379" width="16.28515625" style="1" customWidth="1"/>
    <col min="5380" max="5380" width="9.7109375" style="1" customWidth="1"/>
    <col min="5381" max="5382" width="5.5703125" style="1" bestFit="1" customWidth="1"/>
    <col min="5383" max="5383" width="6.5703125" style="1" bestFit="1" customWidth="1"/>
    <col min="5384" max="5384" width="6.85546875" style="1" bestFit="1" customWidth="1"/>
    <col min="5385" max="5385" width="7.140625" style="1" bestFit="1" customWidth="1"/>
    <col min="5386" max="5386" width="7" style="1" bestFit="1" customWidth="1"/>
    <col min="5387" max="5387" width="9" style="1" bestFit="1" customWidth="1"/>
    <col min="5388" max="5388" width="8.85546875" style="1" bestFit="1" customWidth="1"/>
    <col min="5389" max="5389" width="8" style="1" bestFit="1" customWidth="1"/>
    <col min="5390" max="5391" width="5.85546875" style="1" customWidth="1"/>
    <col min="5392" max="5393" width="7.28515625" style="1" customWidth="1"/>
    <col min="5394" max="5394" width="7.42578125" style="1" customWidth="1"/>
    <col min="5395" max="5395" width="6.28515625" style="1" bestFit="1" customWidth="1"/>
    <col min="5396" max="5396" width="7.140625" style="1" bestFit="1" customWidth="1"/>
    <col min="5397" max="5398" width="5.5703125" style="1" bestFit="1" customWidth="1"/>
    <col min="5399" max="5400" width="6.28515625" style="1" customWidth="1"/>
    <col min="5401" max="5401" width="7.7109375" style="1" customWidth="1"/>
    <col min="5402" max="5633" width="9.140625" style="1"/>
    <col min="5634" max="5634" width="4.7109375" style="1" customWidth="1"/>
    <col min="5635" max="5635" width="16.28515625" style="1" customWidth="1"/>
    <col min="5636" max="5636" width="9.7109375" style="1" customWidth="1"/>
    <col min="5637" max="5638" width="5.5703125" style="1" bestFit="1" customWidth="1"/>
    <col min="5639" max="5639" width="6.5703125" style="1" bestFit="1" customWidth="1"/>
    <col min="5640" max="5640" width="6.85546875" style="1" bestFit="1" customWidth="1"/>
    <col min="5641" max="5641" width="7.140625" style="1" bestFit="1" customWidth="1"/>
    <col min="5642" max="5642" width="7" style="1" bestFit="1" customWidth="1"/>
    <col min="5643" max="5643" width="9" style="1" bestFit="1" customWidth="1"/>
    <col min="5644" max="5644" width="8.85546875" style="1" bestFit="1" customWidth="1"/>
    <col min="5645" max="5645" width="8" style="1" bestFit="1" customWidth="1"/>
    <col min="5646" max="5647" width="5.85546875" style="1" customWidth="1"/>
    <col min="5648" max="5649" width="7.28515625" style="1" customWidth="1"/>
    <col min="5650" max="5650" width="7.42578125" style="1" customWidth="1"/>
    <col min="5651" max="5651" width="6.28515625" style="1" bestFit="1" customWidth="1"/>
    <col min="5652" max="5652" width="7.140625" style="1" bestFit="1" customWidth="1"/>
    <col min="5653" max="5654" width="5.5703125" style="1" bestFit="1" customWidth="1"/>
    <col min="5655" max="5656" width="6.28515625" style="1" customWidth="1"/>
    <col min="5657" max="5657" width="7.7109375" style="1" customWidth="1"/>
    <col min="5658" max="5889" width="9.140625" style="1"/>
    <col min="5890" max="5890" width="4.7109375" style="1" customWidth="1"/>
    <col min="5891" max="5891" width="16.28515625" style="1" customWidth="1"/>
    <col min="5892" max="5892" width="9.7109375" style="1" customWidth="1"/>
    <col min="5893" max="5894" width="5.5703125" style="1" bestFit="1" customWidth="1"/>
    <col min="5895" max="5895" width="6.5703125" style="1" bestFit="1" customWidth="1"/>
    <col min="5896" max="5896" width="6.85546875" style="1" bestFit="1" customWidth="1"/>
    <col min="5897" max="5897" width="7.140625" style="1" bestFit="1" customWidth="1"/>
    <col min="5898" max="5898" width="7" style="1" bestFit="1" customWidth="1"/>
    <col min="5899" max="5899" width="9" style="1" bestFit="1" customWidth="1"/>
    <col min="5900" max="5900" width="8.85546875" style="1" bestFit="1" customWidth="1"/>
    <col min="5901" max="5901" width="8" style="1" bestFit="1" customWidth="1"/>
    <col min="5902" max="5903" width="5.85546875" style="1" customWidth="1"/>
    <col min="5904" max="5905" width="7.28515625" style="1" customWidth="1"/>
    <col min="5906" max="5906" width="7.42578125" style="1" customWidth="1"/>
    <col min="5907" max="5907" width="6.28515625" style="1" bestFit="1" customWidth="1"/>
    <col min="5908" max="5908" width="7.140625" style="1" bestFit="1" customWidth="1"/>
    <col min="5909" max="5910" width="5.5703125" style="1" bestFit="1" customWidth="1"/>
    <col min="5911" max="5912" width="6.28515625" style="1" customWidth="1"/>
    <col min="5913" max="5913" width="7.7109375" style="1" customWidth="1"/>
    <col min="5914" max="6145" width="9.140625" style="1"/>
    <col min="6146" max="6146" width="4.7109375" style="1" customWidth="1"/>
    <col min="6147" max="6147" width="16.28515625" style="1" customWidth="1"/>
    <col min="6148" max="6148" width="9.7109375" style="1" customWidth="1"/>
    <col min="6149" max="6150" width="5.5703125" style="1" bestFit="1" customWidth="1"/>
    <col min="6151" max="6151" width="6.5703125" style="1" bestFit="1" customWidth="1"/>
    <col min="6152" max="6152" width="6.85546875" style="1" bestFit="1" customWidth="1"/>
    <col min="6153" max="6153" width="7.140625" style="1" bestFit="1" customWidth="1"/>
    <col min="6154" max="6154" width="7" style="1" bestFit="1" customWidth="1"/>
    <col min="6155" max="6155" width="9" style="1" bestFit="1" customWidth="1"/>
    <col min="6156" max="6156" width="8.85546875" style="1" bestFit="1" customWidth="1"/>
    <col min="6157" max="6157" width="8" style="1" bestFit="1" customWidth="1"/>
    <col min="6158" max="6159" width="5.85546875" style="1" customWidth="1"/>
    <col min="6160" max="6161" width="7.28515625" style="1" customWidth="1"/>
    <col min="6162" max="6162" width="7.42578125" style="1" customWidth="1"/>
    <col min="6163" max="6163" width="6.28515625" style="1" bestFit="1" customWidth="1"/>
    <col min="6164" max="6164" width="7.140625" style="1" bestFit="1" customWidth="1"/>
    <col min="6165" max="6166" width="5.5703125" style="1" bestFit="1" customWidth="1"/>
    <col min="6167" max="6168" width="6.28515625" style="1" customWidth="1"/>
    <col min="6169" max="6169" width="7.7109375" style="1" customWidth="1"/>
    <col min="6170" max="6401" width="9.140625" style="1"/>
    <col min="6402" max="6402" width="4.7109375" style="1" customWidth="1"/>
    <col min="6403" max="6403" width="16.28515625" style="1" customWidth="1"/>
    <col min="6404" max="6404" width="9.7109375" style="1" customWidth="1"/>
    <col min="6405" max="6406" width="5.5703125" style="1" bestFit="1" customWidth="1"/>
    <col min="6407" max="6407" width="6.5703125" style="1" bestFit="1" customWidth="1"/>
    <col min="6408" max="6408" width="6.85546875" style="1" bestFit="1" customWidth="1"/>
    <col min="6409" max="6409" width="7.140625" style="1" bestFit="1" customWidth="1"/>
    <col min="6410" max="6410" width="7" style="1" bestFit="1" customWidth="1"/>
    <col min="6411" max="6411" width="9" style="1" bestFit="1" customWidth="1"/>
    <col min="6412" max="6412" width="8.85546875" style="1" bestFit="1" customWidth="1"/>
    <col min="6413" max="6413" width="8" style="1" bestFit="1" customWidth="1"/>
    <col min="6414" max="6415" width="5.85546875" style="1" customWidth="1"/>
    <col min="6416" max="6417" width="7.28515625" style="1" customWidth="1"/>
    <col min="6418" max="6418" width="7.42578125" style="1" customWidth="1"/>
    <col min="6419" max="6419" width="6.28515625" style="1" bestFit="1" customWidth="1"/>
    <col min="6420" max="6420" width="7.140625" style="1" bestFit="1" customWidth="1"/>
    <col min="6421" max="6422" width="5.5703125" style="1" bestFit="1" customWidth="1"/>
    <col min="6423" max="6424" width="6.28515625" style="1" customWidth="1"/>
    <col min="6425" max="6425" width="7.7109375" style="1" customWidth="1"/>
    <col min="6426" max="6657" width="9.140625" style="1"/>
    <col min="6658" max="6658" width="4.7109375" style="1" customWidth="1"/>
    <col min="6659" max="6659" width="16.28515625" style="1" customWidth="1"/>
    <col min="6660" max="6660" width="9.7109375" style="1" customWidth="1"/>
    <col min="6661" max="6662" width="5.5703125" style="1" bestFit="1" customWidth="1"/>
    <col min="6663" max="6663" width="6.5703125" style="1" bestFit="1" customWidth="1"/>
    <col min="6664" max="6664" width="6.85546875" style="1" bestFit="1" customWidth="1"/>
    <col min="6665" max="6665" width="7.140625" style="1" bestFit="1" customWidth="1"/>
    <col min="6666" max="6666" width="7" style="1" bestFit="1" customWidth="1"/>
    <col min="6667" max="6667" width="9" style="1" bestFit="1" customWidth="1"/>
    <col min="6668" max="6668" width="8.85546875" style="1" bestFit="1" customWidth="1"/>
    <col min="6669" max="6669" width="8" style="1" bestFit="1" customWidth="1"/>
    <col min="6670" max="6671" width="5.85546875" style="1" customWidth="1"/>
    <col min="6672" max="6673" width="7.28515625" style="1" customWidth="1"/>
    <col min="6674" max="6674" width="7.42578125" style="1" customWidth="1"/>
    <col min="6675" max="6675" width="6.28515625" style="1" bestFit="1" customWidth="1"/>
    <col min="6676" max="6676" width="7.140625" style="1" bestFit="1" customWidth="1"/>
    <col min="6677" max="6678" width="5.5703125" style="1" bestFit="1" customWidth="1"/>
    <col min="6679" max="6680" width="6.28515625" style="1" customWidth="1"/>
    <col min="6681" max="6681" width="7.7109375" style="1" customWidth="1"/>
    <col min="6682" max="6913" width="9.140625" style="1"/>
    <col min="6914" max="6914" width="4.7109375" style="1" customWidth="1"/>
    <col min="6915" max="6915" width="16.28515625" style="1" customWidth="1"/>
    <col min="6916" max="6916" width="9.7109375" style="1" customWidth="1"/>
    <col min="6917" max="6918" width="5.5703125" style="1" bestFit="1" customWidth="1"/>
    <col min="6919" max="6919" width="6.5703125" style="1" bestFit="1" customWidth="1"/>
    <col min="6920" max="6920" width="6.85546875" style="1" bestFit="1" customWidth="1"/>
    <col min="6921" max="6921" width="7.140625" style="1" bestFit="1" customWidth="1"/>
    <col min="6922" max="6922" width="7" style="1" bestFit="1" customWidth="1"/>
    <col min="6923" max="6923" width="9" style="1" bestFit="1" customWidth="1"/>
    <col min="6924" max="6924" width="8.85546875" style="1" bestFit="1" customWidth="1"/>
    <col min="6925" max="6925" width="8" style="1" bestFit="1" customWidth="1"/>
    <col min="6926" max="6927" width="5.85546875" style="1" customWidth="1"/>
    <col min="6928" max="6929" width="7.28515625" style="1" customWidth="1"/>
    <col min="6930" max="6930" width="7.42578125" style="1" customWidth="1"/>
    <col min="6931" max="6931" width="6.28515625" style="1" bestFit="1" customWidth="1"/>
    <col min="6932" max="6932" width="7.140625" style="1" bestFit="1" customWidth="1"/>
    <col min="6933" max="6934" width="5.5703125" style="1" bestFit="1" customWidth="1"/>
    <col min="6935" max="6936" width="6.28515625" style="1" customWidth="1"/>
    <col min="6937" max="6937" width="7.7109375" style="1" customWidth="1"/>
    <col min="6938" max="7169" width="9.140625" style="1"/>
    <col min="7170" max="7170" width="4.7109375" style="1" customWidth="1"/>
    <col min="7171" max="7171" width="16.28515625" style="1" customWidth="1"/>
    <col min="7172" max="7172" width="9.7109375" style="1" customWidth="1"/>
    <col min="7173" max="7174" width="5.5703125" style="1" bestFit="1" customWidth="1"/>
    <col min="7175" max="7175" width="6.5703125" style="1" bestFit="1" customWidth="1"/>
    <col min="7176" max="7176" width="6.85546875" style="1" bestFit="1" customWidth="1"/>
    <col min="7177" max="7177" width="7.140625" style="1" bestFit="1" customWidth="1"/>
    <col min="7178" max="7178" width="7" style="1" bestFit="1" customWidth="1"/>
    <col min="7179" max="7179" width="9" style="1" bestFit="1" customWidth="1"/>
    <col min="7180" max="7180" width="8.85546875" style="1" bestFit="1" customWidth="1"/>
    <col min="7181" max="7181" width="8" style="1" bestFit="1" customWidth="1"/>
    <col min="7182" max="7183" width="5.85546875" style="1" customWidth="1"/>
    <col min="7184" max="7185" width="7.28515625" style="1" customWidth="1"/>
    <col min="7186" max="7186" width="7.42578125" style="1" customWidth="1"/>
    <col min="7187" max="7187" width="6.28515625" style="1" bestFit="1" customWidth="1"/>
    <col min="7188" max="7188" width="7.140625" style="1" bestFit="1" customWidth="1"/>
    <col min="7189" max="7190" width="5.5703125" style="1" bestFit="1" customWidth="1"/>
    <col min="7191" max="7192" width="6.28515625" style="1" customWidth="1"/>
    <col min="7193" max="7193" width="7.7109375" style="1" customWidth="1"/>
    <col min="7194" max="7425" width="9.140625" style="1"/>
    <col min="7426" max="7426" width="4.7109375" style="1" customWidth="1"/>
    <col min="7427" max="7427" width="16.28515625" style="1" customWidth="1"/>
    <col min="7428" max="7428" width="9.7109375" style="1" customWidth="1"/>
    <col min="7429" max="7430" width="5.5703125" style="1" bestFit="1" customWidth="1"/>
    <col min="7431" max="7431" width="6.5703125" style="1" bestFit="1" customWidth="1"/>
    <col min="7432" max="7432" width="6.85546875" style="1" bestFit="1" customWidth="1"/>
    <col min="7433" max="7433" width="7.140625" style="1" bestFit="1" customWidth="1"/>
    <col min="7434" max="7434" width="7" style="1" bestFit="1" customWidth="1"/>
    <col min="7435" max="7435" width="9" style="1" bestFit="1" customWidth="1"/>
    <col min="7436" max="7436" width="8.85546875" style="1" bestFit="1" customWidth="1"/>
    <col min="7437" max="7437" width="8" style="1" bestFit="1" customWidth="1"/>
    <col min="7438" max="7439" width="5.85546875" style="1" customWidth="1"/>
    <col min="7440" max="7441" width="7.28515625" style="1" customWidth="1"/>
    <col min="7442" max="7442" width="7.42578125" style="1" customWidth="1"/>
    <col min="7443" max="7443" width="6.28515625" style="1" bestFit="1" customWidth="1"/>
    <col min="7444" max="7444" width="7.140625" style="1" bestFit="1" customWidth="1"/>
    <col min="7445" max="7446" width="5.5703125" style="1" bestFit="1" customWidth="1"/>
    <col min="7447" max="7448" width="6.28515625" style="1" customWidth="1"/>
    <col min="7449" max="7449" width="7.7109375" style="1" customWidth="1"/>
    <col min="7450" max="7681" width="9.140625" style="1"/>
    <col min="7682" max="7682" width="4.7109375" style="1" customWidth="1"/>
    <col min="7683" max="7683" width="16.28515625" style="1" customWidth="1"/>
    <col min="7684" max="7684" width="9.7109375" style="1" customWidth="1"/>
    <col min="7685" max="7686" width="5.5703125" style="1" bestFit="1" customWidth="1"/>
    <col min="7687" max="7687" width="6.5703125" style="1" bestFit="1" customWidth="1"/>
    <col min="7688" max="7688" width="6.85546875" style="1" bestFit="1" customWidth="1"/>
    <col min="7689" max="7689" width="7.140625" style="1" bestFit="1" customWidth="1"/>
    <col min="7690" max="7690" width="7" style="1" bestFit="1" customWidth="1"/>
    <col min="7691" max="7691" width="9" style="1" bestFit="1" customWidth="1"/>
    <col min="7692" max="7692" width="8.85546875" style="1" bestFit="1" customWidth="1"/>
    <col min="7693" max="7693" width="8" style="1" bestFit="1" customWidth="1"/>
    <col min="7694" max="7695" width="5.85546875" style="1" customWidth="1"/>
    <col min="7696" max="7697" width="7.28515625" style="1" customWidth="1"/>
    <col min="7698" max="7698" width="7.42578125" style="1" customWidth="1"/>
    <col min="7699" max="7699" width="6.28515625" style="1" bestFit="1" customWidth="1"/>
    <col min="7700" max="7700" width="7.140625" style="1" bestFit="1" customWidth="1"/>
    <col min="7701" max="7702" width="5.5703125" style="1" bestFit="1" customWidth="1"/>
    <col min="7703" max="7704" width="6.28515625" style="1" customWidth="1"/>
    <col min="7705" max="7705" width="7.7109375" style="1" customWidth="1"/>
    <col min="7706" max="7937" width="9.140625" style="1"/>
    <col min="7938" max="7938" width="4.7109375" style="1" customWidth="1"/>
    <col min="7939" max="7939" width="16.28515625" style="1" customWidth="1"/>
    <col min="7940" max="7940" width="9.7109375" style="1" customWidth="1"/>
    <col min="7941" max="7942" width="5.5703125" style="1" bestFit="1" customWidth="1"/>
    <col min="7943" max="7943" width="6.5703125" style="1" bestFit="1" customWidth="1"/>
    <col min="7944" max="7944" width="6.85546875" style="1" bestFit="1" customWidth="1"/>
    <col min="7945" max="7945" width="7.140625" style="1" bestFit="1" customWidth="1"/>
    <col min="7946" max="7946" width="7" style="1" bestFit="1" customWidth="1"/>
    <col min="7947" max="7947" width="9" style="1" bestFit="1" customWidth="1"/>
    <col min="7948" max="7948" width="8.85546875" style="1" bestFit="1" customWidth="1"/>
    <col min="7949" max="7949" width="8" style="1" bestFit="1" customWidth="1"/>
    <col min="7950" max="7951" width="5.85546875" style="1" customWidth="1"/>
    <col min="7952" max="7953" width="7.28515625" style="1" customWidth="1"/>
    <col min="7954" max="7954" width="7.42578125" style="1" customWidth="1"/>
    <col min="7955" max="7955" width="6.28515625" style="1" bestFit="1" customWidth="1"/>
    <col min="7956" max="7956" width="7.140625" style="1" bestFit="1" customWidth="1"/>
    <col min="7957" max="7958" width="5.5703125" style="1" bestFit="1" customWidth="1"/>
    <col min="7959" max="7960" width="6.28515625" style="1" customWidth="1"/>
    <col min="7961" max="7961" width="7.7109375" style="1" customWidth="1"/>
    <col min="7962" max="8193" width="9.140625" style="1"/>
    <col min="8194" max="8194" width="4.7109375" style="1" customWidth="1"/>
    <col min="8195" max="8195" width="16.28515625" style="1" customWidth="1"/>
    <col min="8196" max="8196" width="9.7109375" style="1" customWidth="1"/>
    <col min="8197" max="8198" width="5.5703125" style="1" bestFit="1" customWidth="1"/>
    <col min="8199" max="8199" width="6.5703125" style="1" bestFit="1" customWidth="1"/>
    <col min="8200" max="8200" width="6.85546875" style="1" bestFit="1" customWidth="1"/>
    <col min="8201" max="8201" width="7.140625" style="1" bestFit="1" customWidth="1"/>
    <col min="8202" max="8202" width="7" style="1" bestFit="1" customWidth="1"/>
    <col min="8203" max="8203" width="9" style="1" bestFit="1" customWidth="1"/>
    <col min="8204" max="8204" width="8.85546875" style="1" bestFit="1" customWidth="1"/>
    <col min="8205" max="8205" width="8" style="1" bestFit="1" customWidth="1"/>
    <col min="8206" max="8207" width="5.85546875" style="1" customWidth="1"/>
    <col min="8208" max="8209" width="7.28515625" style="1" customWidth="1"/>
    <col min="8210" max="8210" width="7.42578125" style="1" customWidth="1"/>
    <col min="8211" max="8211" width="6.28515625" style="1" bestFit="1" customWidth="1"/>
    <col min="8212" max="8212" width="7.140625" style="1" bestFit="1" customWidth="1"/>
    <col min="8213" max="8214" width="5.5703125" style="1" bestFit="1" customWidth="1"/>
    <col min="8215" max="8216" width="6.28515625" style="1" customWidth="1"/>
    <col min="8217" max="8217" width="7.7109375" style="1" customWidth="1"/>
    <col min="8218" max="8449" width="9.140625" style="1"/>
    <col min="8450" max="8450" width="4.7109375" style="1" customWidth="1"/>
    <col min="8451" max="8451" width="16.28515625" style="1" customWidth="1"/>
    <col min="8452" max="8452" width="9.7109375" style="1" customWidth="1"/>
    <col min="8453" max="8454" width="5.5703125" style="1" bestFit="1" customWidth="1"/>
    <col min="8455" max="8455" width="6.5703125" style="1" bestFit="1" customWidth="1"/>
    <col min="8456" max="8456" width="6.85546875" style="1" bestFit="1" customWidth="1"/>
    <col min="8457" max="8457" width="7.140625" style="1" bestFit="1" customWidth="1"/>
    <col min="8458" max="8458" width="7" style="1" bestFit="1" customWidth="1"/>
    <col min="8459" max="8459" width="9" style="1" bestFit="1" customWidth="1"/>
    <col min="8460" max="8460" width="8.85546875" style="1" bestFit="1" customWidth="1"/>
    <col min="8461" max="8461" width="8" style="1" bestFit="1" customWidth="1"/>
    <col min="8462" max="8463" width="5.85546875" style="1" customWidth="1"/>
    <col min="8464" max="8465" width="7.28515625" style="1" customWidth="1"/>
    <col min="8466" max="8466" width="7.42578125" style="1" customWidth="1"/>
    <col min="8467" max="8467" width="6.28515625" style="1" bestFit="1" customWidth="1"/>
    <col min="8468" max="8468" width="7.140625" style="1" bestFit="1" customWidth="1"/>
    <col min="8469" max="8470" width="5.5703125" style="1" bestFit="1" customWidth="1"/>
    <col min="8471" max="8472" width="6.28515625" style="1" customWidth="1"/>
    <col min="8473" max="8473" width="7.7109375" style="1" customWidth="1"/>
    <col min="8474" max="8705" width="9.140625" style="1"/>
    <col min="8706" max="8706" width="4.7109375" style="1" customWidth="1"/>
    <col min="8707" max="8707" width="16.28515625" style="1" customWidth="1"/>
    <col min="8708" max="8708" width="9.7109375" style="1" customWidth="1"/>
    <col min="8709" max="8710" width="5.5703125" style="1" bestFit="1" customWidth="1"/>
    <col min="8711" max="8711" width="6.5703125" style="1" bestFit="1" customWidth="1"/>
    <col min="8712" max="8712" width="6.85546875" style="1" bestFit="1" customWidth="1"/>
    <col min="8713" max="8713" width="7.140625" style="1" bestFit="1" customWidth="1"/>
    <col min="8714" max="8714" width="7" style="1" bestFit="1" customWidth="1"/>
    <col min="8715" max="8715" width="9" style="1" bestFit="1" customWidth="1"/>
    <col min="8716" max="8716" width="8.85546875" style="1" bestFit="1" customWidth="1"/>
    <col min="8717" max="8717" width="8" style="1" bestFit="1" customWidth="1"/>
    <col min="8718" max="8719" width="5.85546875" style="1" customWidth="1"/>
    <col min="8720" max="8721" width="7.28515625" style="1" customWidth="1"/>
    <col min="8722" max="8722" width="7.42578125" style="1" customWidth="1"/>
    <col min="8723" max="8723" width="6.28515625" style="1" bestFit="1" customWidth="1"/>
    <col min="8724" max="8724" width="7.140625" style="1" bestFit="1" customWidth="1"/>
    <col min="8725" max="8726" width="5.5703125" style="1" bestFit="1" customWidth="1"/>
    <col min="8727" max="8728" width="6.28515625" style="1" customWidth="1"/>
    <col min="8729" max="8729" width="7.7109375" style="1" customWidth="1"/>
    <col min="8730" max="8961" width="9.140625" style="1"/>
    <col min="8962" max="8962" width="4.7109375" style="1" customWidth="1"/>
    <col min="8963" max="8963" width="16.28515625" style="1" customWidth="1"/>
    <col min="8964" max="8964" width="9.7109375" style="1" customWidth="1"/>
    <col min="8965" max="8966" width="5.5703125" style="1" bestFit="1" customWidth="1"/>
    <col min="8967" max="8967" width="6.5703125" style="1" bestFit="1" customWidth="1"/>
    <col min="8968" max="8968" width="6.85546875" style="1" bestFit="1" customWidth="1"/>
    <col min="8969" max="8969" width="7.140625" style="1" bestFit="1" customWidth="1"/>
    <col min="8970" max="8970" width="7" style="1" bestFit="1" customWidth="1"/>
    <col min="8971" max="8971" width="9" style="1" bestFit="1" customWidth="1"/>
    <col min="8972" max="8972" width="8.85546875" style="1" bestFit="1" customWidth="1"/>
    <col min="8973" max="8973" width="8" style="1" bestFit="1" customWidth="1"/>
    <col min="8974" max="8975" width="5.85546875" style="1" customWidth="1"/>
    <col min="8976" max="8977" width="7.28515625" style="1" customWidth="1"/>
    <col min="8978" max="8978" width="7.42578125" style="1" customWidth="1"/>
    <col min="8979" max="8979" width="6.28515625" style="1" bestFit="1" customWidth="1"/>
    <col min="8980" max="8980" width="7.140625" style="1" bestFit="1" customWidth="1"/>
    <col min="8981" max="8982" width="5.5703125" style="1" bestFit="1" customWidth="1"/>
    <col min="8983" max="8984" width="6.28515625" style="1" customWidth="1"/>
    <col min="8985" max="8985" width="7.7109375" style="1" customWidth="1"/>
    <col min="8986" max="9217" width="9.140625" style="1"/>
    <col min="9218" max="9218" width="4.7109375" style="1" customWidth="1"/>
    <col min="9219" max="9219" width="16.28515625" style="1" customWidth="1"/>
    <col min="9220" max="9220" width="9.7109375" style="1" customWidth="1"/>
    <col min="9221" max="9222" width="5.5703125" style="1" bestFit="1" customWidth="1"/>
    <col min="9223" max="9223" width="6.5703125" style="1" bestFit="1" customWidth="1"/>
    <col min="9224" max="9224" width="6.85546875" style="1" bestFit="1" customWidth="1"/>
    <col min="9225" max="9225" width="7.140625" style="1" bestFit="1" customWidth="1"/>
    <col min="9226" max="9226" width="7" style="1" bestFit="1" customWidth="1"/>
    <col min="9227" max="9227" width="9" style="1" bestFit="1" customWidth="1"/>
    <col min="9228" max="9228" width="8.85546875" style="1" bestFit="1" customWidth="1"/>
    <col min="9229" max="9229" width="8" style="1" bestFit="1" customWidth="1"/>
    <col min="9230" max="9231" width="5.85546875" style="1" customWidth="1"/>
    <col min="9232" max="9233" width="7.28515625" style="1" customWidth="1"/>
    <col min="9234" max="9234" width="7.42578125" style="1" customWidth="1"/>
    <col min="9235" max="9235" width="6.28515625" style="1" bestFit="1" customWidth="1"/>
    <col min="9236" max="9236" width="7.140625" style="1" bestFit="1" customWidth="1"/>
    <col min="9237" max="9238" width="5.5703125" style="1" bestFit="1" customWidth="1"/>
    <col min="9239" max="9240" width="6.28515625" style="1" customWidth="1"/>
    <col min="9241" max="9241" width="7.7109375" style="1" customWidth="1"/>
    <col min="9242" max="9473" width="9.140625" style="1"/>
    <col min="9474" max="9474" width="4.7109375" style="1" customWidth="1"/>
    <col min="9475" max="9475" width="16.28515625" style="1" customWidth="1"/>
    <col min="9476" max="9476" width="9.7109375" style="1" customWidth="1"/>
    <col min="9477" max="9478" width="5.5703125" style="1" bestFit="1" customWidth="1"/>
    <col min="9479" max="9479" width="6.5703125" style="1" bestFit="1" customWidth="1"/>
    <col min="9480" max="9480" width="6.85546875" style="1" bestFit="1" customWidth="1"/>
    <col min="9481" max="9481" width="7.140625" style="1" bestFit="1" customWidth="1"/>
    <col min="9482" max="9482" width="7" style="1" bestFit="1" customWidth="1"/>
    <col min="9483" max="9483" width="9" style="1" bestFit="1" customWidth="1"/>
    <col min="9484" max="9484" width="8.85546875" style="1" bestFit="1" customWidth="1"/>
    <col min="9485" max="9485" width="8" style="1" bestFit="1" customWidth="1"/>
    <col min="9486" max="9487" width="5.85546875" style="1" customWidth="1"/>
    <col min="9488" max="9489" width="7.28515625" style="1" customWidth="1"/>
    <col min="9490" max="9490" width="7.42578125" style="1" customWidth="1"/>
    <col min="9491" max="9491" width="6.28515625" style="1" bestFit="1" customWidth="1"/>
    <col min="9492" max="9492" width="7.140625" style="1" bestFit="1" customWidth="1"/>
    <col min="9493" max="9494" width="5.5703125" style="1" bestFit="1" customWidth="1"/>
    <col min="9495" max="9496" width="6.28515625" style="1" customWidth="1"/>
    <col min="9497" max="9497" width="7.7109375" style="1" customWidth="1"/>
    <col min="9498" max="9729" width="9.140625" style="1"/>
    <col min="9730" max="9730" width="4.7109375" style="1" customWidth="1"/>
    <col min="9731" max="9731" width="16.28515625" style="1" customWidth="1"/>
    <col min="9732" max="9732" width="9.7109375" style="1" customWidth="1"/>
    <col min="9733" max="9734" width="5.5703125" style="1" bestFit="1" customWidth="1"/>
    <col min="9735" max="9735" width="6.5703125" style="1" bestFit="1" customWidth="1"/>
    <col min="9736" max="9736" width="6.85546875" style="1" bestFit="1" customWidth="1"/>
    <col min="9737" max="9737" width="7.140625" style="1" bestFit="1" customWidth="1"/>
    <col min="9738" max="9738" width="7" style="1" bestFit="1" customWidth="1"/>
    <col min="9739" max="9739" width="9" style="1" bestFit="1" customWidth="1"/>
    <col min="9740" max="9740" width="8.85546875" style="1" bestFit="1" customWidth="1"/>
    <col min="9741" max="9741" width="8" style="1" bestFit="1" customWidth="1"/>
    <col min="9742" max="9743" width="5.85546875" style="1" customWidth="1"/>
    <col min="9744" max="9745" width="7.28515625" style="1" customWidth="1"/>
    <col min="9746" max="9746" width="7.42578125" style="1" customWidth="1"/>
    <col min="9747" max="9747" width="6.28515625" style="1" bestFit="1" customWidth="1"/>
    <col min="9748" max="9748" width="7.140625" style="1" bestFit="1" customWidth="1"/>
    <col min="9749" max="9750" width="5.5703125" style="1" bestFit="1" customWidth="1"/>
    <col min="9751" max="9752" width="6.28515625" style="1" customWidth="1"/>
    <col min="9753" max="9753" width="7.7109375" style="1" customWidth="1"/>
    <col min="9754" max="9985" width="9.140625" style="1"/>
    <col min="9986" max="9986" width="4.7109375" style="1" customWidth="1"/>
    <col min="9987" max="9987" width="16.28515625" style="1" customWidth="1"/>
    <col min="9988" max="9988" width="9.7109375" style="1" customWidth="1"/>
    <col min="9989" max="9990" width="5.5703125" style="1" bestFit="1" customWidth="1"/>
    <col min="9991" max="9991" width="6.5703125" style="1" bestFit="1" customWidth="1"/>
    <col min="9992" max="9992" width="6.85546875" style="1" bestFit="1" customWidth="1"/>
    <col min="9993" max="9993" width="7.140625" style="1" bestFit="1" customWidth="1"/>
    <col min="9994" max="9994" width="7" style="1" bestFit="1" customWidth="1"/>
    <col min="9995" max="9995" width="9" style="1" bestFit="1" customWidth="1"/>
    <col min="9996" max="9996" width="8.85546875" style="1" bestFit="1" customWidth="1"/>
    <col min="9997" max="9997" width="8" style="1" bestFit="1" customWidth="1"/>
    <col min="9998" max="9999" width="5.85546875" style="1" customWidth="1"/>
    <col min="10000" max="10001" width="7.28515625" style="1" customWidth="1"/>
    <col min="10002" max="10002" width="7.42578125" style="1" customWidth="1"/>
    <col min="10003" max="10003" width="6.28515625" style="1" bestFit="1" customWidth="1"/>
    <col min="10004" max="10004" width="7.140625" style="1" bestFit="1" customWidth="1"/>
    <col min="10005" max="10006" width="5.5703125" style="1" bestFit="1" customWidth="1"/>
    <col min="10007" max="10008" width="6.28515625" style="1" customWidth="1"/>
    <col min="10009" max="10009" width="7.7109375" style="1" customWidth="1"/>
    <col min="10010" max="10241" width="9.140625" style="1"/>
    <col min="10242" max="10242" width="4.7109375" style="1" customWidth="1"/>
    <col min="10243" max="10243" width="16.28515625" style="1" customWidth="1"/>
    <col min="10244" max="10244" width="9.7109375" style="1" customWidth="1"/>
    <col min="10245" max="10246" width="5.5703125" style="1" bestFit="1" customWidth="1"/>
    <col min="10247" max="10247" width="6.5703125" style="1" bestFit="1" customWidth="1"/>
    <col min="10248" max="10248" width="6.85546875" style="1" bestFit="1" customWidth="1"/>
    <col min="10249" max="10249" width="7.140625" style="1" bestFit="1" customWidth="1"/>
    <col min="10250" max="10250" width="7" style="1" bestFit="1" customWidth="1"/>
    <col min="10251" max="10251" width="9" style="1" bestFit="1" customWidth="1"/>
    <col min="10252" max="10252" width="8.85546875" style="1" bestFit="1" customWidth="1"/>
    <col min="10253" max="10253" width="8" style="1" bestFit="1" customWidth="1"/>
    <col min="10254" max="10255" width="5.85546875" style="1" customWidth="1"/>
    <col min="10256" max="10257" width="7.28515625" style="1" customWidth="1"/>
    <col min="10258" max="10258" width="7.42578125" style="1" customWidth="1"/>
    <col min="10259" max="10259" width="6.28515625" style="1" bestFit="1" customWidth="1"/>
    <col min="10260" max="10260" width="7.140625" style="1" bestFit="1" customWidth="1"/>
    <col min="10261" max="10262" width="5.5703125" style="1" bestFit="1" customWidth="1"/>
    <col min="10263" max="10264" width="6.28515625" style="1" customWidth="1"/>
    <col min="10265" max="10265" width="7.7109375" style="1" customWidth="1"/>
    <col min="10266" max="10497" width="9.140625" style="1"/>
    <col min="10498" max="10498" width="4.7109375" style="1" customWidth="1"/>
    <col min="10499" max="10499" width="16.28515625" style="1" customWidth="1"/>
    <col min="10500" max="10500" width="9.7109375" style="1" customWidth="1"/>
    <col min="10501" max="10502" width="5.5703125" style="1" bestFit="1" customWidth="1"/>
    <col min="10503" max="10503" width="6.5703125" style="1" bestFit="1" customWidth="1"/>
    <col min="10504" max="10504" width="6.85546875" style="1" bestFit="1" customWidth="1"/>
    <col min="10505" max="10505" width="7.140625" style="1" bestFit="1" customWidth="1"/>
    <col min="10506" max="10506" width="7" style="1" bestFit="1" customWidth="1"/>
    <col min="10507" max="10507" width="9" style="1" bestFit="1" customWidth="1"/>
    <col min="10508" max="10508" width="8.85546875" style="1" bestFit="1" customWidth="1"/>
    <col min="10509" max="10509" width="8" style="1" bestFit="1" customWidth="1"/>
    <col min="10510" max="10511" width="5.85546875" style="1" customWidth="1"/>
    <col min="10512" max="10513" width="7.28515625" style="1" customWidth="1"/>
    <col min="10514" max="10514" width="7.42578125" style="1" customWidth="1"/>
    <col min="10515" max="10515" width="6.28515625" style="1" bestFit="1" customWidth="1"/>
    <col min="10516" max="10516" width="7.140625" style="1" bestFit="1" customWidth="1"/>
    <col min="10517" max="10518" width="5.5703125" style="1" bestFit="1" customWidth="1"/>
    <col min="10519" max="10520" width="6.28515625" style="1" customWidth="1"/>
    <col min="10521" max="10521" width="7.7109375" style="1" customWidth="1"/>
    <col min="10522" max="10753" width="9.140625" style="1"/>
    <col min="10754" max="10754" width="4.7109375" style="1" customWidth="1"/>
    <col min="10755" max="10755" width="16.28515625" style="1" customWidth="1"/>
    <col min="10756" max="10756" width="9.7109375" style="1" customWidth="1"/>
    <col min="10757" max="10758" width="5.5703125" style="1" bestFit="1" customWidth="1"/>
    <col min="10759" max="10759" width="6.5703125" style="1" bestFit="1" customWidth="1"/>
    <col min="10760" max="10760" width="6.85546875" style="1" bestFit="1" customWidth="1"/>
    <col min="10761" max="10761" width="7.140625" style="1" bestFit="1" customWidth="1"/>
    <col min="10762" max="10762" width="7" style="1" bestFit="1" customWidth="1"/>
    <col min="10763" max="10763" width="9" style="1" bestFit="1" customWidth="1"/>
    <col min="10764" max="10764" width="8.85546875" style="1" bestFit="1" customWidth="1"/>
    <col min="10765" max="10765" width="8" style="1" bestFit="1" customWidth="1"/>
    <col min="10766" max="10767" width="5.85546875" style="1" customWidth="1"/>
    <col min="10768" max="10769" width="7.28515625" style="1" customWidth="1"/>
    <col min="10770" max="10770" width="7.42578125" style="1" customWidth="1"/>
    <col min="10771" max="10771" width="6.28515625" style="1" bestFit="1" customWidth="1"/>
    <col min="10772" max="10772" width="7.140625" style="1" bestFit="1" customWidth="1"/>
    <col min="10773" max="10774" width="5.5703125" style="1" bestFit="1" customWidth="1"/>
    <col min="10775" max="10776" width="6.28515625" style="1" customWidth="1"/>
    <col min="10777" max="10777" width="7.7109375" style="1" customWidth="1"/>
    <col min="10778" max="11009" width="9.140625" style="1"/>
    <col min="11010" max="11010" width="4.7109375" style="1" customWidth="1"/>
    <col min="11011" max="11011" width="16.28515625" style="1" customWidth="1"/>
    <col min="11012" max="11012" width="9.7109375" style="1" customWidth="1"/>
    <col min="11013" max="11014" width="5.5703125" style="1" bestFit="1" customWidth="1"/>
    <col min="11015" max="11015" width="6.5703125" style="1" bestFit="1" customWidth="1"/>
    <col min="11016" max="11016" width="6.85546875" style="1" bestFit="1" customWidth="1"/>
    <col min="11017" max="11017" width="7.140625" style="1" bestFit="1" customWidth="1"/>
    <col min="11018" max="11018" width="7" style="1" bestFit="1" customWidth="1"/>
    <col min="11019" max="11019" width="9" style="1" bestFit="1" customWidth="1"/>
    <col min="11020" max="11020" width="8.85546875" style="1" bestFit="1" customWidth="1"/>
    <col min="11021" max="11021" width="8" style="1" bestFit="1" customWidth="1"/>
    <col min="11022" max="11023" width="5.85546875" style="1" customWidth="1"/>
    <col min="11024" max="11025" width="7.28515625" style="1" customWidth="1"/>
    <col min="11026" max="11026" width="7.42578125" style="1" customWidth="1"/>
    <col min="11027" max="11027" width="6.28515625" style="1" bestFit="1" customWidth="1"/>
    <col min="11028" max="11028" width="7.140625" style="1" bestFit="1" customWidth="1"/>
    <col min="11029" max="11030" width="5.5703125" style="1" bestFit="1" customWidth="1"/>
    <col min="11031" max="11032" width="6.28515625" style="1" customWidth="1"/>
    <col min="11033" max="11033" width="7.7109375" style="1" customWidth="1"/>
    <col min="11034" max="11265" width="9.140625" style="1"/>
    <col min="11266" max="11266" width="4.7109375" style="1" customWidth="1"/>
    <col min="11267" max="11267" width="16.28515625" style="1" customWidth="1"/>
    <col min="11268" max="11268" width="9.7109375" style="1" customWidth="1"/>
    <col min="11269" max="11270" width="5.5703125" style="1" bestFit="1" customWidth="1"/>
    <col min="11271" max="11271" width="6.5703125" style="1" bestFit="1" customWidth="1"/>
    <col min="11272" max="11272" width="6.85546875" style="1" bestFit="1" customWidth="1"/>
    <col min="11273" max="11273" width="7.140625" style="1" bestFit="1" customWidth="1"/>
    <col min="11274" max="11274" width="7" style="1" bestFit="1" customWidth="1"/>
    <col min="11275" max="11275" width="9" style="1" bestFit="1" customWidth="1"/>
    <col min="11276" max="11276" width="8.85546875" style="1" bestFit="1" customWidth="1"/>
    <col min="11277" max="11277" width="8" style="1" bestFit="1" customWidth="1"/>
    <col min="11278" max="11279" width="5.85546875" style="1" customWidth="1"/>
    <col min="11280" max="11281" width="7.28515625" style="1" customWidth="1"/>
    <col min="11282" max="11282" width="7.42578125" style="1" customWidth="1"/>
    <col min="11283" max="11283" width="6.28515625" style="1" bestFit="1" customWidth="1"/>
    <col min="11284" max="11284" width="7.140625" style="1" bestFit="1" customWidth="1"/>
    <col min="11285" max="11286" width="5.5703125" style="1" bestFit="1" customWidth="1"/>
    <col min="11287" max="11288" width="6.28515625" style="1" customWidth="1"/>
    <col min="11289" max="11289" width="7.7109375" style="1" customWidth="1"/>
    <col min="11290" max="11521" width="9.140625" style="1"/>
    <col min="11522" max="11522" width="4.7109375" style="1" customWidth="1"/>
    <col min="11523" max="11523" width="16.28515625" style="1" customWidth="1"/>
    <col min="11524" max="11524" width="9.7109375" style="1" customWidth="1"/>
    <col min="11525" max="11526" width="5.5703125" style="1" bestFit="1" customWidth="1"/>
    <col min="11527" max="11527" width="6.5703125" style="1" bestFit="1" customWidth="1"/>
    <col min="11528" max="11528" width="6.85546875" style="1" bestFit="1" customWidth="1"/>
    <col min="11529" max="11529" width="7.140625" style="1" bestFit="1" customWidth="1"/>
    <col min="11530" max="11530" width="7" style="1" bestFit="1" customWidth="1"/>
    <col min="11531" max="11531" width="9" style="1" bestFit="1" customWidth="1"/>
    <col min="11532" max="11532" width="8.85546875" style="1" bestFit="1" customWidth="1"/>
    <col min="11533" max="11533" width="8" style="1" bestFit="1" customWidth="1"/>
    <col min="11534" max="11535" width="5.85546875" style="1" customWidth="1"/>
    <col min="11536" max="11537" width="7.28515625" style="1" customWidth="1"/>
    <col min="11538" max="11538" width="7.42578125" style="1" customWidth="1"/>
    <col min="11539" max="11539" width="6.28515625" style="1" bestFit="1" customWidth="1"/>
    <col min="11540" max="11540" width="7.140625" style="1" bestFit="1" customWidth="1"/>
    <col min="11541" max="11542" width="5.5703125" style="1" bestFit="1" customWidth="1"/>
    <col min="11543" max="11544" width="6.28515625" style="1" customWidth="1"/>
    <col min="11545" max="11545" width="7.7109375" style="1" customWidth="1"/>
    <col min="11546" max="11777" width="9.140625" style="1"/>
    <col min="11778" max="11778" width="4.7109375" style="1" customWidth="1"/>
    <col min="11779" max="11779" width="16.28515625" style="1" customWidth="1"/>
    <col min="11780" max="11780" width="9.7109375" style="1" customWidth="1"/>
    <col min="11781" max="11782" width="5.5703125" style="1" bestFit="1" customWidth="1"/>
    <col min="11783" max="11783" width="6.5703125" style="1" bestFit="1" customWidth="1"/>
    <col min="11784" max="11784" width="6.85546875" style="1" bestFit="1" customWidth="1"/>
    <col min="11785" max="11785" width="7.140625" style="1" bestFit="1" customWidth="1"/>
    <col min="11786" max="11786" width="7" style="1" bestFit="1" customWidth="1"/>
    <col min="11787" max="11787" width="9" style="1" bestFit="1" customWidth="1"/>
    <col min="11788" max="11788" width="8.85546875" style="1" bestFit="1" customWidth="1"/>
    <col min="11789" max="11789" width="8" style="1" bestFit="1" customWidth="1"/>
    <col min="11790" max="11791" width="5.85546875" style="1" customWidth="1"/>
    <col min="11792" max="11793" width="7.28515625" style="1" customWidth="1"/>
    <col min="11794" max="11794" width="7.42578125" style="1" customWidth="1"/>
    <col min="11795" max="11795" width="6.28515625" style="1" bestFit="1" customWidth="1"/>
    <col min="11796" max="11796" width="7.140625" style="1" bestFit="1" customWidth="1"/>
    <col min="11797" max="11798" width="5.5703125" style="1" bestFit="1" customWidth="1"/>
    <col min="11799" max="11800" width="6.28515625" style="1" customWidth="1"/>
    <col min="11801" max="11801" width="7.7109375" style="1" customWidth="1"/>
    <col min="11802" max="12033" width="9.140625" style="1"/>
    <col min="12034" max="12034" width="4.7109375" style="1" customWidth="1"/>
    <col min="12035" max="12035" width="16.28515625" style="1" customWidth="1"/>
    <col min="12036" max="12036" width="9.7109375" style="1" customWidth="1"/>
    <col min="12037" max="12038" width="5.5703125" style="1" bestFit="1" customWidth="1"/>
    <col min="12039" max="12039" width="6.5703125" style="1" bestFit="1" customWidth="1"/>
    <col min="12040" max="12040" width="6.85546875" style="1" bestFit="1" customWidth="1"/>
    <col min="12041" max="12041" width="7.140625" style="1" bestFit="1" customWidth="1"/>
    <col min="12042" max="12042" width="7" style="1" bestFit="1" customWidth="1"/>
    <col min="12043" max="12043" width="9" style="1" bestFit="1" customWidth="1"/>
    <col min="12044" max="12044" width="8.85546875" style="1" bestFit="1" customWidth="1"/>
    <col min="12045" max="12045" width="8" style="1" bestFit="1" customWidth="1"/>
    <col min="12046" max="12047" width="5.85546875" style="1" customWidth="1"/>
    <col min="12048" max="12049" width="7.28515625" style="1" customWidth="1"/>
    <col min="12050" max="12050" width="7.42578125" style="1" customWidth="1"/>
    <col min="12051" max="12051" width="6.28515625" style="1" bestFit="1" customWidth="1"/>
    <col min="12052" max="12052" width="7.140625" style="1" bestFit="1" customWidth="1"/>
    <col min="12053" max="12054" width="5.5703125" style="1" bestFit="1" customWidth="1"/>
    <col min="12055" max="12056" width="6.28515625" style="1" customWidth="1"/>
    <col min="12057" max="12057" width="7.7109375" style="1" customWidth="1"/>
    <col min="12058" max="12289" width="9.140625" style="1"/>
    <col min="12290" max="12290" width="4.7109375" style="1" customWidth="1"/>
    <col min="12291" max="12291" width="16.28515625" style="1" customWidth="1"/>
    <col min="12292" max="12292" width="9.7109375" style="1" customWidth="1"/>
    <col min="12293" max="12294" width="5.5703125" style="1" bestFit="1" customWidth="1"/>
    <col min="12295" max="12295" width="6.5703125" style="1" bestFit="1" customWidth="1"/>
    <col min="12296" max="12296" width="6.85546875" style="1" bestFit="1" customWidth="1"/>
    <col min="12297" max="12297" width="7.140625" style="1" bestFit="1" customWidth="1"/>
    <col min="12298" max="12298" width="7" style="1" bestFit="1" customWidth="1"/>
    <col min="12299" max="12299" width="9" style="1" bestFit="1" customWidth="1"/>
    <col min="12300" max="12300" width="8.85546875" style="1" bestFit="1" customWidth="1"/>
    <col min="12301" max="12301" width="8" style="1" bestFit="1" customWidth="1"/>
    <col min="12302" max="12303" width="5.85546875" style="1" customWidth="1"/>
    <col min="12304" max="12305" width="7.28515625" style="1" customWidth="1"/>
    <col min="12306" max="12306" width="7.42578125" style="1" customWidth="1"/>
    <col min="12307" max="12307" width="6.28515625" style="1" bestFit="1" customWidth="1"/>
    <col min="12308" max="12308" width="7.140625" style="1" bestFit="1" customWidth="1"/>
    <col min="12309" max="12310" width="5.5703125" style="1" bestFit="1" customWidth="1"/>
    <col min="12311" max="12312" width="6.28515625" style="1" customWidth="1"/>
    <col min="12313" max="12313" width="7.7109375" style="1" customWidth="1"/>
    <col min="12314" max="12545" width="9.140625" style="1"/>
    <col min="12546" max="12546" width="4.7109375" style="1" customWidth="1"/>
    <col min="12547" max="12547" width="16.28515625" style="1" customWidth="1"/>
    <col min="12548" max="12548" width="9.7109375" style="1" customWidth="1"/>
    <col min="12549" max="12550" width="5.5703125" style="1" bestFit="1" customWidth="1"/>
    <col min="12551" max="12551" width="6.5703125" style="1" bestFit="1" customWidth="1"/>
    <col min="12552" max="12552" width="6.85546875" style="1" bestFit="1" customWidth="1"/>
    <col min="12553" max="12553" width="7.140625" style="1" bestFit="1" customWidth="1"/>
    <col min="12554" max="12554" width="7" style="1" bestFit="1" customWidth="1"/>
    <col min="12555" max="12555" width="9" style="1" bestFit="1" customWidth="1"/>
    <col min="12556" max="12556" width="8.85546875" style="1" bestFit="1" customWidth="1"/>
    <col min="12557" max="12557" width="8" style="1" bestFit="1" customWidth="1"/>
    <col min="12558" max="12559" width="5.85546875" style="1" customWidth="1"/>
    <col min="12560" max="12561" width="7.28515625" style="1" customWidth="1"/>
    <col min="12562" max="12562" width="7.42578125" style="1" customWidth="1"/>
    <col min="12563" max="12563" width="6.28515625" style="1" bestFit="1" customWidth="1"/>
    <col min="12564" max="12564" width="7.140625" style="1" bestFit="1" customWidth="1"/>
    <col min="12565" max="12566" width="5.5703125" style="1" bestFit="1" customWidth="1"/>
    <col min="12567" max="12568" width="6.28515625" style="1" customWidth="1"/>
    <col min="12569" max="12569" width="7.7109375" style="1" customWidth="1"/>
    <col min="12570" max="12801" width="9.140625" style="1"/>
    <col min="12802" max="12802" width="4.7109375" style="1" customWidth="1"/>
    <col min="12803" max="12803" width="16.28515625" style="1" customWidth="1"/>
    <col min="12804" max="12804" width="9.7109375" style="1" customWidth="1"/>
    <col min="12805" max="12806" width="5.5703125" style="1" bestFit="1" customWidth="1"/>
    <col min="12807" max="12807" width="6.5703125" style="1" bestFit="1" customWidth="1"/>
    <col min="12808" max="12808" width="6.85546875" style="1" bestFit="1" customWidth="1"/>
    <col min="12809" max="12809" width="7.140625" style="1" bestFit="1" customWidth="1"/>
    <col min="12810" max="12810" width="7" style="1" bestFit="1" customWidth="1"/>
    <col min="12811" max="12811" width="9" style="1" bestFit="1" customWidth="1"/>
    <col min="12812" max="12812" width="8.85546875" style="1" bestFit="1" customWidth="1"/>
    <col min="12813" max="12813" width="8" style="1" bestFit="1" customWidth="1"/>
    <col min="12814" max="12815" width="5.85546875" style="1" customWidth="1"/>
    <col min="12816" max="12817" width="7.28515625" style="1" customWidth="1"/>
    <col min="12818" max="12818" width="7.42578125" style="1" customWidth="1"/>
    <col min="12819" max="12819" width="6.28515625" style="1" bestFit="1" customWidth="1"/>
    <col min="12820" max="12820" width="7.140625" style="1" bestFit="1" customWidth="1"/>
    <col min="12821" max="12822" width="5.5703125" style="1" bestFit="1" customWidth="1"/>
    <col min="12823" max="12824" width="6.28515625" style="1" customWidth="1"/>
    <col min="12825" max="12825" width="7.7109375" style="1" customWidth="1"/>
    <col min="12826" max="13057" width="9.140625" style="1"/>
    <col min="13058" max="13058" width="4.7109375" style="1" customWidth="1"/>
    <col min="13059" max="13059" width="16.28515625" style="1" customWidth="1"/>
    <col min="13060" max="13060" width="9.7109375" style="1" customWidth="1"/>
    <col min="13061" max="13062" width="5.5703125" style="1" bestFit="1" customWidth="1"/>
    <col min="13063" max="13063" width="6.5703125" style="1" bestFit="1" customWidth="1"/>
    <col min="13064" max="13064" width="6.85546875" style="1" bestFit="1" customWidth="1"/>
    <col min="13065" max="13065" width="7.140625" style="1" bestFit="1" customWidth="1"/>
    <col min="13066" max="13066" width="7" style="1" bestFit="1" customWidth="1"/>
    <col min="13067" max="13067" width="9" style="1" bestFit="1" customWidth="1"/>
    <col min="13068" max="13068" width="8.85546875" style="1" bestFit="1" customWidth="1"/>
    <col min="13069" max="13069" width="8" style="1" bestFit="1" customWidth="1"/>
    <col min="13070" max="13071" width="5.85546875" style="1" customWidth="1"/>
    <col min="13072" max="13073" width="7.28515625" style="1" customWidth="1"/>
    <col min="13074" max="13074" width="7.42578125" style="1" customWidth="1"/>
    <col min="13075" max="13075" width="6.28515625" style="1" bestFit="1" customWidth="1"/>
    <col min="13076" max="13076" width="7.140625" style="1" bestFit="1" customWidth="1"/>
    <col min="13077" max="13078" width="5.5703125" style="1" bestFit="1" customWidth="1"/>
    <col min="13079" max="13080" width="6.28515625" style="1" customWidth="1"/>
    <col min="13081" max="13081" width="7.7109375" style="1" customWidth="1"/>
    <col min="13082" max="13313" width="9.140625" style="1"/>
    <col min="13314" max="13314" width="4.7109375" style="1" customWidth="1"/>
    <col min="13315" max="13315" width="16.28515625" style="1" customWidth="1"/>
    <col min="13316" max="13316" width="9.7109375" style="1" customWidth="1"/>
    <col min="13317" max="13318" width="5.5703125" style="1" bestFit="1" customWidth="1"/>
    <col min="13319" max="13319" width="6.5703125" style="1" bestFit="1" customWidth="1"/>
    <col min="13320" max="13320" width="6.85546875" style="1" bestFit="1" customWidth="1"/>
    <col min="13321" max="13321" width="7.140625" style="1" bestFit="1" customWidth="1"/>
    <col min="13322" max="13322" width="7" style="1" bestFit="1" customWidth="1"/>
    <col min="13323" max="13323" width="9" style="1" bestFit="1" customWidth="1"/>
    <col min="13324" max="13324" width="8.85546875" style="1" bestFit="1" customWidth="1"/>
    <col min="13325" max="13325" width="8" style="1" bestFit="1" customWidth="1"/>
    <col min="13326" max="13327" width="5.85546875" style="1" customWidth="1"/>
    <col min="13328" max="13329" width="7.28515625" style="1" customWidth="1"/>
    <col min="13330" max="13330" width="7.42578125" style="1" customWidth="1"/>
    <col min="13331" max="13331" width="6.28515625" style="1" bestFit="1" customWidth="1"/>
    <col min="13332" max="13332" width="7.140625" style="1" bestFit="1" customWidth="1"/>
    <col min="13333" max="13334" width="5.5703125" style="1" bestFit="1" customWidth="1"/>
    <col min="13335" max="13336" width="6.28515625" style="1" customWidth="1"/>
    <col min="13337" max="13337" width="7.7109375" style="1" customWidth="1"/>
    <col min="13338" max="13569" width="9.140625" style="1"/>
    <col min="13570" max="13570" width="4.7109375" style="1" customWidth="1"/>
    <col min="13571" max="13571" width="16.28515625" style="1" customWidth="1"/>
    <col min="13572" max="13572" width="9.7109375" style="1" customWidth="1"/>
    <col min="13573" max="13574" width="5.5703125" style="1" bestFit="1" customWidth="1"/>
    <col min="13575" max="13575" width="6.5703125" style="1" bestFit="1" customWidth="1"/>
    <col min="13576" max="13576" width="6.85546875" style="1" bestFit="1" customWidth="1"/>
    <col min="13577" max="13577" width="7.140625" style="1" bestFit="1" customWidth="1"/>
    <col min="13578" max="13578" width="7" style="1" bestFit="1" customWidth="1"/>
    <col min="13579" max="13579" width="9" style="1" bestFit="1" customWidth="1"/>
    <col min="13580" max="13580" width="8.85546875" style="1" bestFit="1" customWidth="1"/>
    <col min="13581" max="13581" width="8" style="1" bestFit="1" customWidth="1"/>
    <col min="13582" max="13583" width="5.85546875" style="1" customWidth="1"/>
    <col min="13584" max="13585" width="7.28515625" style="1" customWidth="1"/>
    <col min="13586" max="13586" width="7.42578125" style="1" customWidth="1"/>
    <col min="13587" max="13587" width="6.28515625" style="1" bestFit="1" customWidth="1"/>
    <col min="13588" max="13588" width="7.140625" style="1" bestFit="1" customWidth="1"/>
    <col min="13589" max="13590" width="5.5703125" style="1" bestFit="1" customWidth="1"/>
    <col min="13591" max="13592" width="6.28515625" style="1" customWidth="1"/>
    <col min="13593" max="13593" width="7.7109375" style="1" customWidth="1"/>
    <col min="13594" max="13825" width="9.140625" style="1"/>
    <col min="13826" max="13826" width="4.7109375" style="1" customWidth="1"/>
    <col min="13827" max="13827" width="16.28515625" style="1" customWidth="1"/>
    <col min="13828" max="13828" width="9.7109375" style="1" customWidth="1"/>
    <col min="13829" max="13830" width="5.5703125" style="1" bestFit="1" customWidth="1"/>
    <col min="13831" max="13831" width="6.5703125" style="1" bestFit="1" customWidth="1"/>
    <col min="13832" max="13832" width="6.85546875" style="1" bestFit="1" customWidth="1"/>
    <col min="13833" max="13833" width="7.140625" style="1" bestFit="1" customWidth="1"/>
    <col min="13834" max="13834" width="7" style="1" bestFit="1" customWidth="1"/>
    <col min="13835" max="13835" width="9" style="1" bestFit="1" customWidth="1"/>
    <col min="13836" max="13836" width="8.85546875" style="1" bestFit="1" customWidth="1"/>
    <col min="13837" max="13837" width="8" style="1" bestFit="1" customWidth="1"/>
    <col min="13838" max="13839" width="5.85546875" style="1" customWidth="1"/>
    <col min="13840" max="13841" width="7.28515625" style="1" customWidth="1"/>
    <col min="13842" max="13842" width="7.42578125" style="1" customWidth="1"/>
    <col min="13843" max="13843" width="6.28515625" style="1" bestFit="1" customWidth="1"/>
    <col min="13844" max="13844" width="7.140625" style="1" bestFit="1" customWidth="1"/>
    <col min="13845" max="13846" width="5.5703125" style="1" bestFit="1" customWidth="1"/>
    <col min="13847" max="13848" width="6.28515625" style="1" customWidth="1"/>
    <col min="13849" max="13849" width="7.7109375" style="1" customWidth="1"/>
    <col min="13850" max="14081" width="9.140625" style="1"/>
    <col min="14082" max="14082" width="4.7109375" style="1" customWidth="1"/>
    <col min="14083" max="14083" width="16.28515625" style="1" customWidth="1"/>
    <col min="14084" max="14084" width="9.7109375" style="1" customWidth="1"/>
    <col min="14085" max="14086" width="5.5703125" style="1" bestFit="1" customWidth="1"/>
    <col min="14087" max="14087" width="6.5703125" style="1" bestFit="1" customWidth="1"/>
    <col min="14088" max="14088" width="6.85546875" style="1" bestFit="1" customWidth="1"/>
    <col min="14089" max="14089" width="7.140625" style="1" bestFit="1" customWidth="1"/>
    <col min="14090" max="14090" width="7" style="1" bestFit="1" customWidth="1"/>
    <col min="14091" max="14091" width="9" style="1" bestFit="1" customWidth="1"/>
    <col min="14092" max="14092" width="8.85546875" style="1" bestFit="1" customWidth="1"/>
    <col min="14093" max="14093" width="8" style="1" bestFit="1" customWidth="1"/>
    <col min="14094" max="14095" width="5.85546875" style="1" customWidth="1"/>
    <col min="14096" max="14097" width="7.28515625" style="1" customWidth="1"/>
    <col min="14098" max="14098" width="7.42578125" style="1" customWidth="1"/>
    <col min="14099" max="14099" width="6.28515625" style="1" bestFit="1" customWidth="1"/>
    <col min="14100" max="14100" width="7.140625" style="1" bestFit="1" customWidth="1"/>
    <col min="14101" max="14102" width="5.5703125" style="1" bestFit="1" customWidth="1"/>
    <col min="14103" max="14104" width="6.28515625" style="1" customWidth="1"/>
    <col min="14105" max="14105" width="7.7109375" style="1" customWidth="1"/>
    <col min="14106" max="14337" width="9.140625" style="1"/>
    <col min="14338" max="14338" width="4.7109375" style="1" customWidth="1"/>
    <col min="14339" max="14339" width="16.28515625" style="1" customWidth="1"/>
    <col min="14340" max="14340" width="9.7109375" style="1" customWidth="1"/>
    <col min="14341" max="14342" width="5.5703125" style="1" bestFit="1" customWidth="1"/>
    <col min="14343" max="14343" width="6.5703125" style="1" bestFit="1" customWidth="1"/>
    <col min="14344" max="14344" width="6.85546875" style="1" bestFit="1" customWidth="1"/>
    <col min="14345" max="14345" width="7.140625" style="1" bestFit="1" customWidth="1"/>
    <col min="14346" max="14346" width="7" style="1" bestFit="1" customWidth="1"/>
    <col min="14347" max="14347" width="9" style="1" bestFit="1" customWidth="1"/>
    <col min="14348" max="14348" width="8.85546875" style="1" bestFit="1" customWidth="1"/>
    <col min="14349" max="14349" width="8" style="1" bestFit="1" customWidth="1"/>
    <col min="14350" max="14351" width="5.85546875" style="1" customWidth="1"/>
    <col min="14352" max="14353" width="7.28515625" style="1" customWidth="1"/>
    <col min="14354" max="14354" width="7.42578125" style="1" customWidth="1"/>
    <col min="14355" max="14355" width="6.28515625" style="1" bestFit="1" customWidth="1"/>
    <col min="14356" max="14356" width="7.140625" style="1" bestFit="1" customWidth="1"/>
    <col min="14357" max="14358" width="5.5703125" style="1" bestFit="1" customWidth="1"/>
    <col min="14359" max="14360" width="6.28515625" style="1" customWidth="1"/>
    <col min="14361" max="14361" width="7.7109375" style="1" customWidth="1"/>
    <col min="14362" max="14593" width="9.140625" style="1"/>
    <col min="14594" max="14594" width="4.7109375" style="1" customWidth="1"/>
    <col min="14595" max="14595" width="16.28515625" style="1" customWidth="1"/>
    <col min="14596" max="14596" width="9.7109375" style="1" customWidth="1"/>
    <col min="14597" max="14598" width="5.5703125" style="1" bestFit="1" customWidth="1"/>
    <col min="14599" max="14599" width="6.5703125" style="1" bestFit="1" customWidth="1"/>
    <col min="14600" max="14600" width="6.85546875" style="1" bestFit="1" customWidth="1"/>
    <col min="14601" max="14601" width="7.140625" style="1" bestFit="1" customWidth="1"/>
    <col min="14602" max="14602" width="7" style="1" bestFit="1" customWidth="1"/>
    <col min="14603" max="14603" width="9" style="1" bestFit="1" customWidth="1"/>
    <col min="14604" max="14604" width="8.85546875" style="1" bestFit="1" customWidth="1"/>
    <col min="14605" max="14605" width="8" style="1" bestFit="1" customWidth="1"/>
    <col min="14606" max="14607" width="5.85546875" style="1" customWidth="1"/>
    <col min="14608" max="14609" width="7.28515625" style="1" customWidth="1"/>
    <col min="14610" max="14610" width="7.42578125" style="1" customWidth="1"/>
    <col min="14611" max="14611" width="6.28515625" style="1" bestFit="1" customWidth="1"/>
    <col min="14612" max="14612" width="7.140625" style="1" bestFit="1" customWidth="1"/>
    <col min="14613" max="14614" width="5.5703125" style="1" bestFit="1" customWidth="1"/>
    <col min="14615" max="14616" width="6.28515625" style="1" customWidth="1"/>
    <col min="14617" max="14617" width="7.7109375" style="1" customWidth="1"/>
    <col min="14618" max="14849" width="9.140625" style="1"/>
    <col min="14850" max="14850" width="4.7109375" style="1" customWidth="1"/>
    <col min="14851" max="14851" width="16.28515625" style="1" customWidth="1"/>
    <col min="14852" max="14852" width="9.7109375" style="1" customWidth="1"/>
    <col min="14853" max="14854" width="5.5703125" style="1" bestFit="1" customWidth="1"/>
    <col min="14855" max="14855" width="6.5703125" style="1" bestFit="1" customWidth="1"/>
    <col min="14856" max="14856" width="6.85546875" style="1" bestFit="1" customWidth="1"/>
    <col min="14857" max="14857" width="7.140625" style="1" bestFit="1" customWidth="1"/>
    <col min="14858" max="14858" width="7" style="1" bestFit="1" customWidth="1"/>
    <col min="14859" max="14859" width="9" style="1" bestFit="1" customWidth="1"/>
    <col min="14860" max="14860" width="8.85546875" style="1" bestFit="1" customWidth="1"/>
    <col min="14861" max="14861" width="8" style="1" bestFit="1" customWidth="1"/>
    <col min="14862" max="14863" width="5.85546875" style="1" customWidth="1"/>
    <col min="14864" max="14865" width="7.28515625" style="1" customWidth="1"/>
    <col min="14866" max="14866" width="7.42578125" style="1" customWidth="1"/>
    <col min="14867" max="14867" width="6.28515625" style="1" bestFit="1" customWidth="1"/>
    <col min="14868" max="14868" width="7.140625" style="1" bestFit="1" customWidth="1"/>
    <col min="14869" max="14870" width="5.5703125" style="1" bestFit="1" customWidth="1"/>
    <col min="14871" max="14872" width="6.28515625" style="1" customWidth="1"/>
    <col min="14873" max="14873" width="7.7109375" style="1" customWidth="1"/>
    <col min="14874" max="15105" width="9.140625" style="1"/>
    <col min="15106" max="15106" width="4.7109375" style="1" customWidth="1"/>
    <col min="15107" max="15107" width="16.28515625" style="1" customWidth="1"/>
    <col min="15108" max="15108" width="9.7109375" style="1" customWidth="1"/>
    <col min="15109" max="15110" width="5.5703125" style="1" bestFit="1" customWidth="1"/>
    <col min="15111" max="15111" width="6.5703125" style="1" bestFit="1" customWidth="1"/>
    <col min="15112" max="15112" width="6.85546875" style="1" bestFit="1" customWidth="1"/>
    <col min="15113" max="15113" width="7.140625" style="1" bestFit="1" customWidth="1"/>
    <col min="15114" max="15114" width="7" style="1" bestFit="1" customWidth="1"/>
    <col min="15115" max="15115" width="9" style="1" bestFit="1" customWidth="1"/>
    <col min="15116" max="15116" width="8.85546875" style="1" bestFit="1" customWidth="1"/>
    <col min="15117" max="15117" width="8" style="1" bestFit="1" customWidth="1"/>
    <col min="15118" max="15119" width="5.85546875" style="1" customWidth="1"/>
    <col min="15120" max="15121" width="7.28515625" style="1" customWidth="1"/>
    <col min="15122" max="15122" width="7.42578125" style="1" customWidth="1"/>
    <col min="15123" max="15123" width="6.28515625" style="1" bestFit="1" customWidth="1"/>
    <col min="15124" max="15124" width="7.140625" style="1" bestFit="1" customWidth="1"/>
    <col min="15125" max="15126" width="5.5703125" style="1" bestFit="1" customWidth="1"/>
    <col min="15127" max="15128" width="6.28515625" style="1" customWidth="1"/>
    <col min="15129" max="15129" width="7.7109375" style="1" customWidth="1"/>
    <col min="15130" max="15361" width="9.140625" style="1"/>
    <col min="15362" max="15362" width="4.7109375" style="1" customWidth="1"/>
    <col min="15363" max="15363" width="16.28515625" style="1" customWidth="1"/>
    <col min="15364" max="15364" width="9.7109375" style="1" customWidth="1"/>
    <col min="15365" max="15366" width="5.5703125" style="1" bestFit="1" customWidth="1"/>
    <col min="15367" max="15367" width="6.5703125" style="1" bestFit="1" customWidth="1"/>
    <col min="15368" max="15368" width="6.85546875" style="1" bestFit="1" customWidth="1"/>
    <col min="15369" max="15369" width="7.140625" style="1" bestFit="1" customWidth="1"/>
    <col min="15370" max="15370" width="7" style="1" bestFit="1" customWidth="1"/>
    <col min="15371" max="15371" width="9" style="1" bestFit="1" customWidth="1"/>
    <col min="15372" max="15372" width="8.85546875" style="1" bestFit="1" customWidth="1"/>
    <col min="15373" max="15373" width="8" style="1" bestFit="1" customWidth="1"/>
    <col min="15374" max="15375" width="5.85546875" style="1" customWidth="1"/>
    <col min="15376" max="15377" width="7.28515625" style="1" customWidth="1"/>
    <col min="15378" max="15378" width="7.42578125" style="1" customWidth="1"/>
    <col min="15379" max="15379" width="6.28515625" style="1" bestFit="1" customWidth="1"/>
    <col min="15380" max="15380" width="7.140625" style="1" bestFit="1" customWidth="1"/>
    <col min="15381" max="15382" width="5.5703125" style="1" bestFit="1" customWidth="1"/>
    <col min="15383" max="15384" width="6.28515625" style="1" customWidth="1"/>
    <col min="15385" max="15385" width="7.7109375" style="1" customWidth="1"/>
    <col min="15386" max="15617" width="9.140625" style="1"/>
    <col min="15618" max="15618" width="4.7109375" style="1" customWidth="1"/>
    <col min="15619" max="15619" width="16.28515625" style="1" customWidth="1"/>
    <col min="15620" max="15620" width="9.7109375" style="1" customWidth="1"/>
    <col min="15621" max="15622" width="5.5703125" style="1" bestFit="1" customWidth="1"/>
    <col min="15623" max="15623" width="6.5703125" style="1" bestFit="1" customWidth="1"/>
    <col min="15624" max="15624" width="6.85546875" style="1" bestFit="1" customWidth="1"/>
    <col min="15625" max="15625" width="7.140625" style="1" bestFit="1" customWidth="1"/>
    <col min="15626" max="15626" width="7" style="1" bestFit="1" customWidth="1"/>
    <col min="15627" max="15627" width="9" style="1" bestFit="1" customWidth="1"/>
    <col min="15628" max="15628" width="8.85546875" style="1" bestFit="1" customWidth="1"/>
    <col min="15629" max="15629" width="8" style="1" bestFit="1" customWidth="1"/>
    <col min="15630" max="15631" width="5.85546875" style="1" customWidth="1"/>
    <col min="15632" max="15633" width="7.28515625" style="1" customWidth="1"/>
    <col min="15634" max="15634" width="7.42578125" style="1" customWidth="1"/>
    <col min="15635" max="15635" width="6.28515625" style="1" bestFit="1" customWidth="1"/>
    <col min="15636" max="15636" width="7.140625" style="1" bestFit="1" customWidth="1"/>
    <col min="15637" max="15638" width="5.5703125" style="1" bestFit="1" customWidth="1"/>
    <col min="15639" max="15640" width="6.28515625" style="1" customWidth="1"/>
    <col min="15641" max="15641" width="7.7109375" style="1" customWidth="1"/>
    <col min="15642" max="15873" width="9.140625" style="1"/>
    <col min="15874" max="15874" width="4.7109375" style="1" customWidth="1"/>
    <col min="15875" max="15875" width="16.28515625" style="1" customWidth="1"/>
    <col min="15876" max="15876" width="9.7109375" style="1" customWidth="1"/>
    <col min="15877" max="15878" width="5.5703125" style="1" bestFit="1" customWidth="1"/>
    <col min="15879" max="15879" width="6.5703125" style="1" bestFit="1" customWidth="1"/>
    <col min="15880" max="15880" width="6.85546875" style="1" bestFit="1" customWidth="1"/>
    <col min="15881" max="15881" width="7.140625" style="1" bestFit="1" customWidth="1"/>
    <col min="15882" max="15882" width="7" style="1" bestFit="1" customWidth="1"/>
    <col min="15883" max="15883" width="9" style="1" bestFit="1" customWidth="1"/>
    <col min="15884" max="15884" width="8.85546875" style="1" bestFit="1" customWidth="1"/>
    <col min="15885" max="15885" width="8" style="1" bestFit="1" customWidth="1"/>
    <col min="15886" max="15887" width="5.85546875" style="1" customWidth="1"/>
    <col min="15888" max="15889" width="7.28515625" style="1" customWidth="1"/>
    <col min="15890" max="15890" width="7.42578125" style="1" customWidth="1"/>
    <col min="15891" max="15891" width="6.28515625" style="1" bestFit="1" customWidth="1"/>
    <col min="15892" max="15892" width="7.140625" style="1" bestFit="1" customWidth="1"/>
    <col min="15893" max="15894" width="5.5703125" style="1" bestFit="1" customWidth="1"/>
    <col min="15895" max="15896" width="6.28515625" style="1" customWidth="1"/>
    <col min="15897" max="15897" width="7.7109375" style="1" customWidth="1"/>
    <col min="15898" max="16129" width="9.140625" style="1"/>
    <col min="16130" max="16130" width="4.7109375" style="1" customWidth="1"/>
    <col min="16131" max="16131" width="16.28515625" style="1" customWidth="1"/>
    <col min="16132" max="16132" width="9.7109375" style="1" customWidth="1"/>
    <col min="16133" max="16134" width="5.5703125" style="1" bestFit="1" customWidth="1"/>
    <col min="16135" max="16135" width="6.5703125" style="1" bestFit="1" customWidth="1"/>
    <col min="16136" max="16136" width="6.85546875" style="1" bestFit="1" customWidth="1"/>
    <col min="16137" max="16137" width="7.140625" style="1" bestFit="1" customWidth="1"/>
    <col min="16138" max="16138" width="7" style="1" bestFit="1" customWidth="1"/>
    <col min="16139" max="16139" width="9" style="1" bestFit="1" customWidth="1"/>
    <col min="16140" max="16140" width="8.85546875" style="1" bestFit="1" customWidth="1"/>
    <col min="16141" max="16141" width="8" style="1" bestFit="1" customWidth="1"/>
    <col min="16142" max="16143" width="5.85546875" style="1" customWidth="1"/>
    <col min="16144" max="16145" width="7.28515625" style="1" customWidth="1"/>
    <col min="16146" max="16146" width="7.42578125" style="1" customWidth="1"/>
    <col min="16147" max="16147" width="6.28515625" style="1" bestFit="1" customWidth="1"/>
    <col min="16148" max="16148" width="7.140625" style="1" bestFit="1" customWidth="1"/>
    <col min="16149" max="16150" width="5.5703125" style="1" bestFit="1" customWidth="1"/>
    <col min="16151" max="16152" width="6.28515625" style="1" customWidth="1"/>
    <col min="16153" max="16153" width="7.7109375" style="1" customWidth="1"/>
    <col min="16154" max="16384" width="9.140625" style="1"/>
  </cols>
  <sheetData>
    <row r="1" spans="1:25">
      <c r="A1" s="61"/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723" t="s">
        <v>904</v>
      </c>
      <c r="X1" s="1723"/>
      <c r="Y1" s="1723"/>
    </row>
    <row r="2" spans="1:25" ht="39.75" customHeight="1">
      <c r="A2" s="1724" t="s">
        <v>1631</v>
      </c>
      <c r="B2" s="1725"/>
      <c r="C2" s="1725"/>
      <c r="D2" s="1725"/>
      <c r="E2" s="1725"/>
      <c r="F2" s="1725"/>
      <c r="G2" s="1725"/>
      <c r="H2" s="1725"/>
      <c r="I2" s="1725"/>
      <c r="J2" s="1725"/>
      <c r="K2" s="1725"/>
      <c r="L2" s="1725"/>
      <c r="M2" s="1725"/>
      <c r="N2" s="1725"/>
      <c r="O2" s="1725"/>
      <c r="P2" s="1725"/>
      <c r="Q2" s="1725"/>
      <c r="R2" s="1725"/>
      <c r="S2" s="1725"/>
      <c r="T2" s="1725"/>
      <c r="U2" s="1725"/>
      <c r="V2" s="1725"/>
      <c r="W2" s="1725"/>
      <c r="X2" s="1725"/>
      <c r="Y2" s="1725"/>
    </row>
    <row r="3" spans="1:25" ht="15.75">
      <c r="A3" s="63"/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2"/>
      <c r="X3" s="62"/>
      <c r="Y3" s="26"/>
    </row>
    <row r="4" spans="1:25" ht="15.75">
      <c r="A4" s="1726" t="s">
        <v>1621</v>
      </c>
      <c r="B4" s="1726"/>
      <c r="C4" s="1726"/>
      <c r="D4" s="1726"/>
      <c r="E4" s="1726"/>
      <c r="F4" s="1726"/>
      <c r="G4" s="1726"/>
      <c r="H4" s="1726"/>
      <c r="I4" s="1726"/>
      <c r="J4" s="1726"/>
      <c r="K4" s="1726"/>
      <c r="L4" s="1726"/>
      <c r="M4" s="1726"/>
      <c r="N4" s="1726"/>
      <c r="O4" s="1726"/>
      <c r="P4" s="1726"/>
      <c r="Q4" s="1726"/>
      <c r="R4" s="1726"/>
      <c r="S4" s="1726"/>
      <c r="T4" s="1726"/>
      <c r="U4" s="1726"/>
      <c r="V4" s="1726"/>
      <c r="W4" s="1726"/>
      <c r="X4" s="1726"/>
      <c r="Y4" s="1726"/>
    </row>
    <row r="5" spans="1:25" ht="12.75" customHeight="1">
      <c r="A5" s="66"/>
      <c r="B5" s="66"/>
      <c r="C5" s="1034"/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727" t="s">
        <v>1187</v>
      </c>
      <c r="Y5" s="1727"/>
    </row>
    <row r="6" spans="1:25" s="73" customFormat="1" ht="24" customHeight="1">
      <c r="A6" s="67" t="s">
        <v>310</v>
      </c>
      <c r="B6" s="68" t="s">
        <v>311</v>
      </c>
      <c r="C6" s="69" t="s">
        <v>312</v>
      </c>
      <c r="D6" s="69" t="s">
        <v>313</v>
      </c>
      <c r="E6" s="69" t="s">
        <v>314</v>
      </c>
      <c r="F6" s="69" t="s">
        <v>315</v>
      </c>
      <c r="G6" s="69" t="s">
        <v>316</v>
      </c>
      <c r="H6" s="69" t="s">
        <v>317</v>
      </c>
      <c r="I6" s="69" t="s">
        <v>147</v>
      </c>
      <c r="J6" s="69" t="s">
        <v>318</v>
      </c>
      <c r="K6" s="69" t="s">
        <v>319</v>
      </c>
      <c r="L6" s="69" t="s">
        <v>320</v>
      </c>
      <c r="M6" s="1728" t="s">
        <v>849</v>
      </c>
      <c r="N6" s="68" t="s">
        <v>689</v>
      </c>
      <c r="O6" s="68" t="s">
        <v>689</v>
      </c>
      <c r="P6" s="68" t="s">
        <v>689</v>
      </c>
      <c r="Q6" s="68" t="s">
        <v>995</v>
      </c>
      <c r="R6" s="70" t="s">
        <v>321</v>
      </c>
      <c r="S6" s="69" t="s">
        <v>322</v>
      </c>
      <c r="T6" s="69" t="s">
        <v>323</v>
      </c>
      <c r="U6" s="69" t="s">
        <v>1423</v>
      </c>
      <c r="V6" s="69" t="s">
        <v>1623</v>
      </c>
      <c r="W6" s="71" t="s">
        <v>324</v>
      </c>
      <c r="X6" s="71" t="s">
        <v>325</v>
      </c>
      <c r="Y6" s="72" t="s">
        <v>294</v>
      </c>
    </row>
    <row r="7" spans="1:25" s="73" customFormat="1">
      <c r="A7" s="74" t="s">
        <v>326</v>
      </c>
      <c r="B7" s="75" t="s">
        <v>327</v>
      </c>
      <c r="C7" s="76"/>
      <c r="D7" s="76" t="s">
        <v>328</v>
      </c>
      <c r="E7" s="76" t="s">
        <v>329</v>
      </c>
      <c r="F7" s="76" t="s">
        <v>329</v>
      </c>
      <c r="G7" s="76" t="s">
        <v>330</v>
      </c>
      <c r="H7" s="76" t="s">
        <v>330</v>
      </c>
      <c r="I7" s="76" t="s">
        <v>330</v>
      </c>
      <c r="J7" s="76" t="s">
        <v>331</v>
      </c>
      <c r="K7" s="76" t="s">
        <v>332</v>
      </c>
      <c r="L7" s="76" t="s">
        <v>333</v>
      </c>
      <c r="M7" s="1729"/>
      <c r="N7" s="76" t="s">
        <v>334</v>
      </c>
      <c r="O7" s="76" t="s">
        <v>334</v>
      </c>
      <c r="P7" s="76" t="s">
        <v>334</v>
      </c>
      <c r="Q7" s="76" t="s">
        <v>334</v>
      </c>
      <c r="R7" s="76" t="s">
        <v>330</v>
      </c>
      <c r="S7" s="76" t="s">
        <v>330</v>
      </c>
      <c r="T7" s="76" t="s">
        <v>330</v>
      </c>
      <c r="U7" s="76" t="s">
        <v>1625</v>
      </c>
      <c r="V7" s="76" t="s">
        <v>1626</v>
      </c>
      <c r="W7" s="77" t="s">
        <v>330</v>
      </c>
      <c r="X7" s="77" t="s">
        <v>335</v>
      </c>
      <c r="Y7" s="78"/>
    </row>
    <row r="8" spans="1:25" s="73" customFormat="1">
      <c r="A8" s="74"/>
      <c r="B8" s="75"/>
      <c r="C8" s="76"/>
      <c r="D8" s="76" t="s">
        <v>330</v>
      </c>
      <c r="E8" s="76"/>
      <c r="F8" s="76"/>
      <c r="G8" s="76"/>
      <c r="H8" s="76"/>
      <c r="I8" s="76"/>
      <c r="J8" s="76" t="s">
        <v>330</v>
      </c>
      <c r="K8" s="76" t="s">
        <v>330</v>
      </c>
      <c r="L8" s="76"/>
      <c r="M8" s="1729"/>
      <c r="N8" s="79" t="s">
        <v>329</v>
      </c>
      <c r="O8" s="79" t="s">
        <v>329</v>
      </c>
      <c r="P8" s="79" t="s">
        <v>329</v>
      </c>
      <c r="Q8" s="79" t="s">
        <v>329</v>
      </c>
      <c r="R8" s="80" t="s">
        <v>159</v>
      </c>
      <c r="S8" s="76"/>
      <c r="T8" s="76"/>
      <c r="U8" s="76" t="s">
        <v>159</v>
      </c>
      <c r="V8" s="76"/>
      <c r="W8" s="77" t="s">
        <v>1627</v>
      </c>
      <c r="X8" s="77" t="s">
        <v>330</v>
      </c>
      <c r="Y8" s="78"/>
    </row>
    <row r="9" spans="1:25" s="73" customFormat="1">
      <c r="A9" s="81"/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178">
        <v>2013</v>
      </c>
      <c r="N9" s="178">
        <v>2016</v>
      </c>
      <c r="O9" s="178">
        <v>2017</v>
      </c>
      <c r="P9" s="178">
        <v>2018</v>
      </c>
      <c r="Q9" s="178">
        <v>2019</v>
      </c>
      <c r="R9" s="83"/>
      <c r="S9" s="83"/>
      <c r="T9" s="83"/>
      <c r="U9" s="83"/>
      <c r="V9" s="83"/>
      <c r="W9" s="84" t="s">
        <v>1628</v>
      </c>
      <c r="X9" s="84"/>
      <c r="Y9" s="85"/>
    </row>
    <row r="10" spans="1:25">
      <c r="A10" s="86">
        <v>1</v>
      </c>
      <c r="B10" s="87">
        <v>2</v>
      </c>
      <c r="C10" s="88">
        <v>3</v>
      </c>
      <c r="D10" s="88">
        <v>4</v>
      </c>
      <c r="E10" s="88">
        <v>5</v>
      </c>
      <c r="F10" s="88">
        <v>6</v>
      </c>
      <c r="G10" s="88">
        <v>7</v>
      </c>
      <c r="H10" s="88">
        <v>8</v>
      </c>
      <c r="I10" s="88">
        <v>9</v>
      </c>
      <c r="J10" s="88">
        <v>10</v>
      </c>
      <c r="K10" s="88">
        <v>11</v>
      </c>
      <c r="L10" s="88">
        <v>12</v>
      </c>
      <c r="M10" s="88">
        <v>13</v>
      </c>
      <c r="N10" s="88">
        <v>14</v>
      </c>
      <c r="O10" s="88">
        <v>15</v>
      </c>
      <c r="P10" s="88">
        <v>16</v>
      </c>
      <c r="Q10" s="88">
        <v>17</v>
      </c>
      <c r="R10" s="88">
        <v>18</v>
      </c>
      <c r="S10" s="88">
        <v>19</v>
      </c>
      <c r="T10" s="88">
        <v>20</v>
      </c>
      <c r="U10" s="88">
        <v>21</v>
      </c>
      <c r="V10" s="88">
        <v>22</v>
      </c>
      <c r="W10" s="88">
        <v>23</v>
      </c>
      <c r="X10" s="88">
        <v>24</v>
      </c>
      <c r="Y10" s="89"/>
    </row>
    <row r="11" spans="1:25" s="336" customFormat="1" ht="18" customHeight="1">
      <c r="A11" s="1720" t="s">
        <v>336</v>
      </c>
      <c r="B11" s="1721"/>
      <c r="C11" s="1721"/>
      <c r="D11" s="1721"/>
      <c r="E11" s="1721"/>
      <c r="F11" s="1721"/>
      <c r="G11" s="1721"/>
      <c r="H11" s="1721"/>
      <c r="I11" s="1721"/>
      <c r="J11" s="1721"/>
      <c r="K11" s="1721"/>
      <c r="L11" s="1721"/>
      <c r="M11" s="1721"/>
      <c r="N11" s="1721"/>
      <c r="O11" s="1721"/>
      <c r="P11" s="1721"/>
      <c r="Q11" s="1721"/>
      <c r="R11" s="1721"/>
      <c r="S11" s="1721"/>
      <c r="T11" s="1721"/>
      <c r="U11" s="1721"/>
      <c r="V11" s="1721"/>
      <c r="W11" s="1721"/>
      <c r="X11" s="1721"/>
      <c r="Y11" s="1722"/>
    </row>
    <row r="12" spans="1:25" s="336" customFormat="1" ht="18" customHeight="1">
      <c r="A12" s="337"/>
      <c r="B12" s="338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90"/>
    </row>
    <row r="13" spans="1:25" s="336" customFormat="1" ht="18" customHeight="1">
      <c r="A13" s="1739" t="s">
        <v>1630</v>
      </c>
      <c r="B13" s="1739"/>
      <c r="C13" s="1049">
        <v>8981280</v>
      </c>
      <c r="D13" s="1049">
        <v>32850</v>
      </c>
      <c r="E13" s="1049">
        <v>25200</v>
      </c>
      <c r="F13" s="1049">
        <v>294000</v>
      </c>
      <c r="G13" s="1049">
        <v>1999158</v>
      </c>
      <c r="H13" s="1049">
        <v>810000</v>
      </c>
      <c r="I13" s="1049">
        <v>324480</v>
      </c>
      <c r="J13" s="1049">
        <v>300000</v>
      </c>
      <c r="K13" s="1049"/>
      <c r="L13" s="1049"/>
      <c r="M13" s="1049"/>
      <c r="N13" s="1049">
        <v>221361</v>
      </c>
      <c r="O13" s="1049">
        <v>884817</v>
      </c>
      <c r="P13" s="1049">
        <f>+O13</f>
        <v>884817</v>
      </c>
      <c r="Q13" s="1049">
        <v>767484</v>
      </c>
      <c r="R13" s="1049"/>
      <c r="S13" s="1049"/>
      <c r="T13" s="1049"/>
      <c r="U13" s="1049"/>
      <c r="V13" s="1049"/>
      <c r="W13" s="1049"/>
      <c r="X13" s="1049"/>
      <c r="Y13" s="1050">
        <f>SUM(C13:X13)</f>
        <v>15525447</v>
      </c>
    </row>
    <row r="14" spans="1:25" s="336" customFormat="1" ht="18" customHeight="1">
      <c r="A14" s="1739" t="s">
        <v>753</v>
      </c>
      <c r="B14" s="1739"/>
      <c r="C14" s="1049">
        <v>313549890</v>
      </c>
      <c r="D14" s="1049">
        <v>129750</v>
      </c>
      <c r="E14" s="1049">
        <v>111900</v>
      </c>
      <c r="F14" s="1049">
        <v>1386000</v>
      </c>
      <c r="G14" s="1049">
        <v>94617912</v>
      </c>
      <c r="H14" s="1049">
        <v>33101199</v>
      </c>
      <c r="I14" s="1049">
        <v>82785150</v>
      </c>
      <c r="J14" s="1049">
        <v>1110000</v>
      </c>
      <c r="K14" s="1049"/>
      <c r="L14" s="1049">
        <v>234000</v>
      </c>
      <c r="M14" s="1049"/>
      <c r="N14" s="1049">
        <v>21812355</v>
      </c>
      <c r="O14" s="1049">
        <v>30748563</v>
      </c>
      <c r="P14" s="1049">
        <f>+O14</f>
        <v>30748563</v>
      </c>
      <c r="Q14" s="1049">
        <v>29963460</v>
      </c>
      <c r="R14" s="1049">
        <v>3317850</v>
      </c>
      <c r="S14" s="1049"/>
      <c r="T14" s="1049">
        <v>405000</v>
      </c>
      <c r="U14" s="1049"/>
      <c r="V14" s="1049"/>
      <c r="W14" s="1049">
        <v>1417800</v>
      </c>
      <c r="X14" s="1049"/>
      <c r="Y14" s="1050">
        <f>SUM(C14:X14)</f>
        <v>645439392</v>
      </c>
    </row>
    <row r="15" spans="1:25" s="336" customFormat="1" ht="18" customHeight="1">
      <c r="A15" s="1058"/>
      <c r="B15" s="1059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91"/>
    </row>
    <row r="16" spans="1:25" s="15" customFormat="1" ht="18" customHeight="1">
      <c r="A16" s="1730" t="s">
        <v>136</v>
      </c>
      <c r="B16" s="1731"/>
      <c r="C16" s="1051">
        <f>SUM(C13:C14)</f>
        <v>322531170</v>
      </c>
      <c r="D16" s="1051">
        <f t="shared" ref="D16:Y16" si="0">SUM(D13:D14)</f>
        <v>162600</v>
      </c>
      <c r="E16" s="1051">
        <f t="shared" si="0"/>
        <v>137100</v>
      </c>
      <c r="F16" s="1051">
        <f t="shared" si="0"/>
        <v>1680000</v>
      </c>
      <c r="G16" s="1051">
        <f t="shared" si="0"/>
        <v>96617070</v>
      </c>
      <c r="H16" s="1051">
        <f t="shared" si="0"/>
        <v>33911199</v>
      </c>
      <c r="I16" s="1051">
        <f t="shared" si="0"/>
        <v>83109630</v>
      </c>
      <c r="J16" s="1051">
        <f t="shared" si="0"/>
        <v>1410000</v>
      </c>
      <c r="K16" s="1051">
        <f t="shared" si="0"/>
        <v>0</v>
      </c>
      <c r="L16" s="1051">
        <f t="shared" si="0"/>
        <v>234000</v>
      </c>
      <c r="M16" s="1051">
        <f t="shared" si="0"/>
        <v>0</v>
      </c>
      <c r="N16" s="1051">
        <f t="shared" si="0"/>
        <v>22033716</v>
      </c>
      <c r="O16" s="1051">
        <f t="shared" si="0"/>
        <v>31633380</v>
      </c>
      <c r="P16" s="1051">
        <f t="shared" si="0"/>
        <v>31633380</v>
      </c>
      <c r="Q16" s="1051">
        <f t="shared" si="0"/>
        <v>30730944</v>
      </c>
      <c r="R16" s="1051">
        <f t="shared" si="0"/>
        <v>3317850</v>
      </c>
      <c r="S16" s="1051">
        <f t="shared" si="0"/>
        <v>0</v>
      </c>
      <c r="T16" s="1051">
        <f t="shared" si="0"/>
        <v>405000</v>
      </c>
      <c r="U16" s="1051">
        <f t="shared" si="0"/>
        <v>0</v>
      </c>
      <c r="V16" s="1051">
        <f t="shared" si="0"/>
        <v>0</v>
      </c>
      <c r="W16" s="1051">
        <f t="shared" si="0"/>
        <v>1417800</v>
      </c>
      <c r="X16" s="1051">
        <f t="shared" si="0"/>
        <v>0</v>
      </c>
      <c r="Y16" s="1051">
        <f t="shared" si="0"/>
        <v>660964839</v>
      </c>
    </row>
    <row r="17" spans="1:25" s="336" customFormat="1" ht="18" customHeight="1">
      <c r="A17" s="1732" t="s">
        <v>1629</v>
      </c>
      <c r="B17" s="1733"/>
      <c r="C17" s="1733"/>
      <c r="D17" s="1733"/>
      <c r="E17" s="1733"/>
      <c r="F17" s="1733"/>
      <c r="G17" s="1733"/>
      <c r="H17" s="1733"/>
      <c r="I17" s="1733"/>
      <c r="J17" s="1733"/>
      <c r="K17" s="1733"/>
      <c r="L17" s="1733"/>
      <c r="M17" s="1733"/>
      <c r="N17" s="1733"/>
      <c r="O17" s="1733"/>
      <c r="P17" s="1733"/>
      <c r="Q17" s="1733"/>
      <c r="R17" s="1733"/>
      <c r="S17" s="1733"/>
      <c r="T17" s="1733"/>
      <c r="U17" s="1733"/>
      <c r="V17" s="1733"/>
      <c r="W17" s="1733"/>
      <c r="X17" s="1733"/>
      <c r="Y17" s="1734"/>
    </row>
    <row r="18" spans="1:25" s="15" customFormat="1" ht="19.5" customHeight="1">
      <c r="A18" s="1730" t="s">
        <v>1630</v>
      </c>
      <c r="B18" s="1731"/>
      <c r="C18" s="1052">
        <v>43601160</v>
      </c>
      <c r="D18" s="1052">
        <v>195000</v>
      </c>
      <c r="E18" s="1052">
        <v>156900</v>
      </c>
      <c r="F18" s="1052">
        <v>2160000</v>
      </c>
      <c r="G18" s="1052">
        <v>7222167</v>
      </c>
      <c r="H18" s="1052">
        <v>2085000</v>
      </c>
      <c r="I18" s="1052">
        <v>4168320</v>
      </c>
      <c r="J18" s="1052">
        <v>2160000</v>
      </c>
      <c r="K18" s="1052"/>
      <c r="L18" s="1052"/>
      <c r="M18" s="1052"/>
      <c r="N18" s="1052">
        <v>3071811</v>
      </c>
      <c r="O18" s="1052">
        <v>4268277</v>
      </c>
      <c r="P18" s="1052">
        <f>+O18</f>
        <v>4268277</v>
      </c>
      <c r="Q18" s="1052">
        <v>3386115</v>
      </c>
      <c r="R18" s="1052"/>
      <c r="S18" s="1052"/>
      <c r="T18" s="1052"/>
      <c r="U18" s="1052">
        <v>756000</v>
      </c>
      <c r="V18" s="1052"/>
      <c r="W18" s="1052">
        <v>264000</v>
      </c>
      <c r="X18" s="1052"/>
      <c r="Y18" s="1052">
        <f>SUM(C18:X18)</f>
        <v>77763027</v>
      </c>
    </row>
    <row r="19" spans="1:25" s="15" customFormat="1" ht="18" customHeight="1">
      <c r="A19" s="1730" t="s">
        <v>753</v>
      </c>
      <c r="B19" s="1731"/>
      <c r="C19" s="1052">
        <v>20524680</v>
      </c>
      <c r="D19" s="1052"/>
      <c r="E19" s="1052"/>
      <c r="F19" s="1052"/>
      <c r="G19" s="1052">
        <v>5124009</v>
      </c>
      <c r="H19" s="1052">
        <v>2357379</v>
      </c>
      <c r="I19" s="1052">
        <v>5149428</v>
      </c>
      <c r="J19" s="1052">
        <v>180000</v>
      </c>
      <c r="K19" s="1052"/>
      <c r="L19" s="1052">
        <v>27000</v>
      </c>
      <c r="M19" s="1052"/>
      <c r="N19" s="1052">
        <v>1442889</v>
      </c>
      <c r="O19" s="1052">
        <v>2010075</v>
      </c>
      <c r="P19" s="1052">
        <f>+O19</f>
        <v>2010075</v>
      </c>
      <c r="Q19" s="1052">
        <f>+P19</f>
        <v>2010075</v>
      </c>
      <c r="R19" s="1052">
        <v>93150</v>
      </c>
      <c r="S19" s="1052"/>
      <c r="T19" s="1052">
        <v>72000</v>
      </c>
      <c r="U19" s="1052"/>
      <c r="V19" s="1052"/>
      <c r="W19" s="1052"/>
      <c r="X19" s="1052"/>
      <c r="Y19" s="1052">
        <f>SUM(C19:X19)</f>
        <v>41000760</v>
      </c>
    </row>
    <row r="20" spans="1:25" s="15" customFormat="1" ht="30.75" customHeight="1">
      <c r="A20" s="1730" t="s">
        <v>337</v>
      </c>
      <c r="B20" s="1731"/>
      <c r="C20" s="1052">
        <f>SUM(C18:C19)</f>
        <v>64125840</v>
      </c>
      <c r="D20" s="1052">
        <f t="shared" ref="D20:Y20" si="1">SUM(D18:D19)</f>
        <v>195000</v>
      </c>
      <c r="E20" s="1052">
        <f t="shared" si="1"/>
        <v>156900</v>
      </c>
      <c r="F20" s="1052">
        <f t="shared" si="1"/>
        <v>2160000</v>
      </c>
      <c r="G20" s="1052">
        <f t="shared" si="1"/>
        <v>12346176</v>
      </c>
      <c r="H20" s="1052">
        <f t="shared" si="1"/>
        <v>4442379</v>
      </c>
      <c r="I20" s="1052">
        <f t="shared" si="1"/>
        <v>9317748</v>
      </c>
      <c r="J20" s="1052">
        <f t="shared" si="1"/>
        <v>2340000</v>
      </c>
      <c r="K20" s="1052">
        <f t="shared" si="1"/>
        <v>0</v>
      </c>
      <c r="L20" s="1052">
        <f t="shared" si="1"/>
        <v>27000</v>
      </c>
      <c r="M20" s="1052">
        <f t="shared" si="1"/>
        <v>0</v>
      </c>
      <c r="N20" s="1052">
        <f t="shared" si="1"/>
        <v>4514700</v>
      </c>
      <c r="O20" s="1052">
        <f t="shared" si="1"/>
        <v>6278352</v>
      </c>
      <c r="P20" s="1052">
        <f t="shared" si="1"/>
        <v>6278352</v>
      </c>
      <c r="Q20" s="1052">
        <f t="shared" si="1"/>
        <v>5396190</v>
      </c>
      <c r="R20" s="1052">
        <f t="shared" si="1"/>
        <v>93150</v>
      </c>
      <c r="S20" s="1052">
        <f t="shared" si="1"/>
        <v>0</v>
      </c>
      <c r="T20" s="1052">
        <f t="shared" si="1"/>
        <v>72000</v>
      </c>
      <c r="U20" s="1052">
        <f t="shared" si="1"/>
        <v>756000</v>
      </c>
      <c r="V20" s="1052">
        <f t="shared" si="1"/>
        <v>0</v>
      </c>
      <c r="W20" s="1052">
        <f t="shared" si="1"/>
        <v>264000</v>
      </c>
      <c r="X20" s="1052"/>
      <c r="Y20" s="1052">
        <f t="shared" si="1"/>
        <v>118763787</v>
      </c>
    </row>
    <row r="21" spans="1:25" s="336" customFormat="1" ht="18" customHeight="1">
      <c r="A21" s="1732" t="s">
        <v>1426</v>
      </c>
      <c r="B21" s="1733"/>
      <c r="C21" s="1733"/>
      <c r="D21" s="1733"/>
      <c r="E21" s="1733"/>
      <c r="F21" s="1733"/>
      <c r="G21" s="1733"/>
      <c r="H21" s="1733"/>
      <c r="I21" s="1733"/>
      <c r="J21" s="1733"/>
      <c r="K21" s="1733"/>
      <c r="L21" s="1733"/>
      <c r="M21" s="1733"/>
      <c r="N21" s="1733"/>
      <c r="O21" s="1733"/>
      <c r="P21" s="1733"/>
      <c r="Q21" s="1733"/>
      <c r="R21" s="1733"/>
      <c r="S21" s="1733"/>
      <c r="T21" s="1733"/>
      <c r="U21" s="1733"/>
      <c r="V21" s="1733"/>
      <c r="W21" s="1733"/>
      <c r="X21" s="1733"/>
      <c r="Y21" s="1734"/>
    </row>
    <row r="22" spans="1:25" s="336" customFormat="1" ht="18" customHeight="1">
      <c r="A22" s="1730" t="s">
        <v>1630</v>
      </c>
      <c r="B22" s="1731"/>
      <c r="C22" s="1052">
        <v>146177370</v>
      </c>
      <c r="D22" s="1052">
        <v>653250</v>
      </c>
      <c r="E22" s="1052">
        <v>662400</v>
      </c>
      <c r="F22" s="1052">
        <v>7158000</v>
      </c>
      <c r="G22" s="1052">
        <v>20746881</v>
      </c>
      <c r="H22" s="1052">
        <v>7890000</v>
      </c>
      <c r="I22" s="1052">
        <v>14426880</v>
      </c>
      <c r="J22" s="1052">
        <v>12360000</v>
      </c>
      <c r="K22" s="1052"/>
      <c r="L22" s="1052"/>
      <c r="M22" s="1052"/>
      <c r="N22" s="1052">
        <v>10197771</v>
      </c>
      <c r="O22" s="1052">
        <v>14292204</v>
      </c>
      <c r="P22" s="1052">
        <f>+O22</f>
        <v>14292204</v>
      </c>
      <c r="Q22" s="1052">
        <v>11492589</v>
      </c>
      <c r="R22" s="1052"/>
      <c r="S22" s="1052"/>
      <c r="T22" s="1052"/>
      <c r="U22" s="1052">
        <v>1404000</v>
      </c>
      <c r="V22" s="1052"/>
      <c r="W22" s="1052">
        <v>381000</v>
      </c>
      <c r="X22" s="1052"/>
      <c r="Y22" s="1052">
        <f>SUM(C22:X22)</f>
        <v>262134549</v>
      </c>
    </row>
    <row r="23" spans="1:25" s="336" customFormat="1" ht="18" customHeight="1">
      <c r="A23" s="1730" t="s">
        <v>753</v>
      </c>
      <c r="B23" s="1731"/>
      <c r="C23" s="1052">
        <v>49469700</v>
      </c>
      <c r="D23" s="1052"/>
      <c r="E23" s="1052"/>
      <c r="F23" s="1052"/>
      <c r="G23" s="1052">
        <v>11855943</v>
      </c>
      <c r="H23" s="1052">
        <v>5965443</v>
      </c>
      <c r="I23" s="1052">
        <v>13059714</v>
      </c>
      <c r="J23" s="1052">
        <v>30000</v>
      </c>
      <c r="K23" s="1052"/>
      <c r="L23" s="1052">
        <v>27000</v>
      </c>
      <c r="M23" s="1052"/>
      <c r="N23" s="1052">
        <v>3502230</v>
      </c>
      <c r="O23" s="1052">
        <v>4837866</v>
      </c>
      <c r="P23" s="1052">
        <f>+O23</f>
        <v>4837866</v>
      </c>
      <c r="Q23" s="1052">
        <f>+P23</f>
        <v>4837866</v>
      </c>
      <c r="R23" s="1052">
        <v>329400</v>
      </c>
      <c r="S23" s="1052"/>
      <c r="T23" s="1052">
        <v>36000</v>
      </c>
      <c r="U23" s="1052"/>
      <c r="V23" s="1052"/>
      <c r="W23" s="1052"/>
      <c r="X23" s="1052"/>
      <c r="Y23" s="1052">
        <f>SUM(C23:X23)</f>
        <v>98789028</v>
      </c>
    </row>
    <row r="24" spans="1:25" s="336" customFormat="1" ht="18" customHeight="1">
      <c r="A24" s="1730" t="s">
        <v>337</v>
      </c>
      <c r="B24" s="1731"/>
      <c r="C24" s="1052">
        <f>SUM(C22:C23)</f>
        <v>195647070</v>
      </c>
      <c r="D24" s="1052">
        <f t="shared" ref="D24:W24" si="2">SUM(D22:D23)</f>
        <v>653250</v>
      </c>
      <c r="E24" s="1052">
        <f t="shared" si="2"/>
        <v>662400</v>
      </c>
      <c r="F24" s="1052">
        <f t="shared" si="2"/>
        <v>7158000</v>
      </c>
      <c r="G24" s="1052">
        <f t="shared" si="2"/>
        <v>32602824</v>
      </c>
      <c r="H24" s="1052">
        <f t="shared" si="2"/>
        <v>13855443</v>
      </c>
      <c r="I24" s="1052">
        <f t="shared" si="2"/>
        <v>27486594</v>
      </c>
      <c r="J24" s="1052">
        <f t="shared" si="2"/>
        <v>12390000</v>
      </c>
      <c r="K24" s="1052">
        <f t="shared" si="2"/>
        <v>0</v>
      </c>
      <c r="L24" s="1052">
        <f t="shared" si="2"/>
        <v>27000</v>
      </c>
      <c r="M24" s="1052">
        <f t="shared" si="2"/>
        <v>0</v>
      </c>
      <c r="N24" s="1052">
        <f t="shared" si="2"/>
        <v>13700001</v>
      </c>
      <c r="O24" s="1052">
        <f t="shared" si="2"/>
        <v>19130070</v>
      </c>
      <c r="P24" s="1052">
        <f t="shared" si="2"/>
        <v>19130070</v>
      </c>
      <c r="Q24" s="1052">
        <f t="shared" si="2"/>
        <v>16330455</v>
      </c>
      <c r="R24" s="1052">
        <f t="shared" si="2"/>
        <v>329400</v>
      </c>
      <c r="S24" s="1052">
        <f t="shared" si="2"/>
        <v>0</v>
      </c>
      <c r="T24" s="1052">
        <f t="shared" si="2"/>
        <v>36000</v>
      </c>
      <c r="U24" s="1052">
        <f t="shared" si="2"/>
        <v>1404000</v>
      </c>
      <c r="V24" s="1052">
        <f t="shared" si="2"/>
        <v>0</v>
      </c>
      <c r="W24" s="1052">
        <f t="shared" si="2"/>
        <v>381000</v>
      </c>
      <c r="X24" s="1052"/>
      <c r="Y24" s="1052">
        <f t="shared" ref="Y24" si="3">SUM(Y22:Y23)</f>
        <v>360923577</v>
      </c>
    </row>
    <row r="25" spans="1:25" s="15" customFormat="1" ht="21" customHeight="1">
      <c r="A25" s="1732" t="s">
        <v>1427</v>
      </c>
      <c r="B25" s="1733"/>
      <c r="C25" s="1733"/>
      <c r="D25" s="1733"/>
      <c r="E25" s="1733"/>
      <c r="F25" s="1733"/>
      <c r="G25" s="1733"/>
      <c r="H25" s="1733"/>
      <c r="I25" s="1733"/>
      <c r="J25" s="1733"/>
      <c r="K25" s="1733"/>
      <c r="L25" s="1733"/>
      <c r="M25" s="1733"/>
      <c r="N25" s="1733"/>
      <c r="O25" s="1733"/>
      <c r="P25" s="1733"/>
      <c r="Q25" s="1733"/>
      <c r="R25" s="1733"/>
      <c r="S25" s="1733"/>
      <c r="T25" s="1733"/>
      <c r="U25" s="1733"/>
      <c r="V25" s="1733"/>
      <c r="W25" s="1733"/>
      <c r="X25" s="1733"/>
      <c r="Y25" s="1734"/>
    </row>
    <row r="26" spans="1:25" s="336" customFormat="1" ht="18" customHeight="1">
      <c r="A26" s="1730" t="s">
        <v>1630</v>
      </c>
      <c r="B26" s="1731"/>
      <c r="C26" s="1052">
        <v>113381040</v>
      </c>
      <c r="D26" s="1052">
        <v>343050</v>
      </c>
      <c r="E26" s="1052">
        <v>393000</v>
      </c>
      <c r="F26" s="1052">
        <v>3780000</v>
      </c>
      <c r="G26" s="1052">
        <v>15890028</v>
      </c>
      <c r="H26" s="1052">
        <v>6435000</v>
      </c>
      <c r="I26" s="1052">
        <v>11406720</v>
      </c>
      <c r="J26" s="1052">
        <v>6600000</v>
      </c>
      <c r="K26" s="1052"/>
      <c r="L26" s="1052">
        <v>18000</v>
      </c>
      <c r="M26" s="1052"/>
      <c r="N26" s="1052">
        <v>7897308</v>
      </c>
      <c r="O26" s="1052">
        <v>11105112</v>
      </c>
      <c r="P26" s="1052">
        <f>+O26</f>
        <v>11105112</v>
      </c>
      <c r="Q26" s="1052">
        <v>9592782</v>
      </c>
      <c r="R26" s="1052"/>
      <c r="S26" s="1052"/>
      <c r="T26" s="1052"/>
      <c r="U26" s="1052">
        <v>648000</v>
      </c>
      <c r="V26" s="1052"/>
      <c r="W26" s="1052">
        <v>186000</v>
      </c>
      <c r="X26" s="1052"/>
      <c r="Y26" s="1052">
        <f>SUM(C26:X26)</f>
        <v>198781152</v>
      </c>
    </row>
    <row r="27" spans="1:25" s="336" customFormat="1" ht="18" customHeight="1">
      <c r="A27" s="1730" t="s">
        <v>753</v>
      </c>
      <c r="B27" s="1731"/>
      <c r="C27" s="1052">
        <v>26975700</v>
      </c>
      <c r="D27" s="1052"/>
      <c r="E27" s="1052"/>
      <c r="F27" s="1052"/>
      <c r="G27" s="1052">
        <v>6211467</v>
      </c>
      <c r="H27" s="1052">
        <v>3191790</v>
      </c>
      <c r="I27" s="1052">
        <v>7448859</v>
      </c>
      <c r="J27" s="1052">
        <v>30000</v>
      </c>
      <c r="K27" s="1052"/>
      <c r="L27" s="1052">
        <v>38250</v>
      </c>
      <c r="M27" s="1052"/>
      <c r="N27" s="1052">
        <v>1930071</v>
      </c>
      <c r="O27" s="1052">
        <v>2639688</v>
      </c>
      <c r="P27" s="1052">
        <f>+O27</f>
        <v>2639688</v>
      </c>
      <c r="Q27" s="1052">
        <f>+P27</f>
        <v>2639688</v>
      </c>
      <c r="R27" s="1052">
        <v>143100</v>
      </c>
      <c r="S27" s="1052"/>
      <c r="T27" s="1052">
        <v>45000</v>
      </c>
      <c r="U27" s="1052"/>
      <c r="V27" s="1052"/>
      <c r="W27" s="1052"/>
      <c r="X27" s="1052"/>
      <c r="Y27" s="1052">
        <f>SUM(C27:X27)</f>
        <v>53933301</v>
      </c>
    </row>
    <row r="28" spans="1:25" s="336" customFormat="1" ht="18" customHeight="1">
      <c r="A28" s="1730" t="s">
        <v>337</v>
      </c>
      <c r="B28" s="1731"/>
      <c r="C28" s="1052">
        <f>SUM(C26:C27)</f>
        <v>140356740</v>
      </c>
      <c r="D28" s="1052">
        <f t="shared" ref="D28:W28" si="4">SUM(D26:D27)</f>
        <v>343050</v>
      </c>
      <c r="E28" s="1052">
        <f t="shared" si="4"/>
        <v>393000</v>
      </c>
      <c r="F28" s="1052">
        <f t="shared" si="4"/>
        <v>3780000</v>
      </c>
      <c r="G28" s="1052">
        <f t="shared" si="4"/>
        <v>22101495</v>
      </c>
      <c r="H28" s="1052">
        <f t="shared" si="4"/>
        <v>9626790</v>
      </c>
      <c r="I28" s="1052">
        <f t="shared" si="4"/>
        <v>18855579</v>
      </c>
      <c r="J28" s="1052">
        <f t="shared" si="4"/>
        <v>6630000</v>
      </c>
      <c r="K28" s="1052">
        <f t="shared" si="4"/>
        <v>0</v>
      </c>
      <c r="L28" s="1052">
        <f t="shared" si="4"/>
        <v>56250</v>
      </c>
      <c r="M28" s="1052">
        <f t="shared" si="4"/>
        <v>0</v>
      </c>
      <c r="N28" s="1052">
        <f t="shared" si="4"/>
        <v>9827379</v>
      </c>
      <c r="O28" s="1052">
        <f t="shared" si="4"/>
        <v>13744800</v>
      </c>
      <c r="P28" s="1052">
        <f t="shared" si="4"/>
        <v>13744800</v>
      </c>
      <c r="Q28" s="1052">
        <f t="shared" si="4"/>
        <v>12232470</v>
      </c>
      <c r="R28" s="1052">
        <f t="shared" si="4"/>
        <v>143100</v>
      </c>
      <c r="S28" s="1052">
        <f t="shared" si="4"/>
        <v>0</v>
      </c>
      <c r="T28" s="1052">
        <f t="shared" si="4"/>
        <v>45000</v>
      </c>
      <c r="U28" s="1052">
        <f t="shared" si="4"/>
        <v>648000</v>
      </c>
      <c r="V28" s="1052">
        <f t="shared" si="4"/>
        <v>0</v>
      </c>
      <c r="W28" s="1052">
        <f t="shared" si="4"/>
        <v>186000</v>
      </c>
      <c r="X28" s="1052"/>
      <c r="Y28" s="1052">
        <f t="shared" ref="Y28" si="5">SUM(Y26:Y27)</f>
        <v>252714453</v>
      </c>
    </row>
    <row r="29" spans="1:25" s="15" customFormat="1" ht="21" customHeight="1">
      <c r="A29" s="1732" t="s">
        <v>1428</v>
      </c>
      <c r="B29" s="1733"/>
      <c r="C29" s="1733"/>
      <c r="D29" s="1733"/>
      <c r="E29" s="1733"/>
      <c r="F29" s="1733"/>
      <c r="G29" s="1733"/>
      <c r="H29" s="1733"/>
      <c r="I29" s="1733"/>
      <c r="J29" s="1733"/>
      <c r="K29" s="1733"/>
      <c r="L29" s="1733"/>
      <c r="M29" s="1733"/>
      <c r="N29" s="1733"/>
      <c r="O29" s="1733"/>
      <c r="P29" s="1733"/>
      <c r="Q29" s="1733"/>
      <c r="R29" s="1733"/>
      <c r="S29" s="1733"/>
      <c r="T29" s="1733"/>
      <c r="U29" s="1733"/>
      <c r="V29" s="1733"/>
      <c r="W29" s="1733"/>
      <c r="X29" s="1733"/>
      <c r="Y29" s="1734"/>
    </row>
    <row r="30" spans="1:25" s="336" customFormat="1" ht="18" customHeight="1">
      <c r="A30" s="1730" t="s">
        <v>1630</v>
      </c>
      <c r="B30" s="1731"/>
      <c r="C30" s="1052">
        <v>27793290</v>
      </c>
      <c r="D30" s="1052">
        <v>312450</v>
      </c>
      <c r="E30" s="1052">
        <v>376500</v>
      </c>
      <c r="F30" s="1052">
        <v>3570000</v>
      </c>
      <c r="G30" s="1052">
        <v>13015362</v>
      </c>
      <c r="H30" s="1052">
        <v>4770000</v>
      </c>
      <c r="I30" s="1052">
        <v>8236800</v>
      </c>
      <c r="J30" s="1052">
        <v>7147500</v>
      </c>
      <c r="K30" s="1052"/>
      <c r="L30" s="1052">
        <v>274500</v>
      </c>
      <c r="M30" s="1052"/>
      <c r="N30" s="1052">
        <v>5857962</v>
      </c>
      <c r="O30" s="1052">
        <v>8284278</v>
      </c>
      <c r="P30" s="1052">
        <f>+O30</f>
        <v>8284278</v>
      </c>
      <c r="Q30" s="1052">
        <v>6938670</v>
      </c>
      <c r="R30" s="1052"/>
      <c r="S30" s="1052"/>
      <c r="T30" s="1052"/>
      <c r="U30" s="1052">
        <v>324000</v>
      </c>
      <c r="V30" s="1052"/>
      <c r="W30" s="1052">
        <v>192000</v>
      </c>
      <c r="X30" s="1052"/>
      <c r="Y30" s="1052">
        <f>SUM(C30:X30)</f>
        <v>95377590</v>
      </c>
    </row>
    <row r="31" spans="1:25" s="336" customFormat="1" ht="18" customHeight="1">
      <c r="A31" s="1730" t="s">
        <v>753</v>
      </c>
      <c r="B31" s="1731"/>
      <c r="C31" s="1052">
        <v>84583500</v>
      </c>
      <c r="D31" s="1052"/>
      <c r="E31" s="1052"/>
      <c r="F31" s="1052"/>
      <c r="G31" s="1052">
        <v>7827003</v>
      </c>
      <c r="H31" s="1052">
        <v>3270366</v>
      </c>
      <c r="I31" s="1052">
        <v>7014501</v>
      </c>
      <c r="J31" s="1052">
        <v>150000</v>
      </c>
      <c r="K31" s="1052"/>
      <c r="L31" s="1052">
        <v>27000</v>
      </c>
      <c r="M31" s="1052"/>
      <c r="N31" s="1052">
        <v>1920258</v>
      </c>
      <c r="O31" s="1052">
        <v>2715885</v>
      </c>
      <c r="P31" s="1052">
        <f>+O31</f>
        <v>2715885</v>
      </c>
      <c r="Q31" s="1052">
        <f>+P31</f>
        <v>2715885</v>
      </c>
      <c r="R31" s="1052">
        <v>95700</v>
      </c>
      <c r="S31" s="1052"/>
      <c r="T31" s="1052"/>
      <c r="U31" s="1052"/>
      <c r="V31" s="1052"/>
      <c r="W31" s="1052"/>
      <c r="X31" s="1052"/>
      <c r="Y31" s="1052">
        <f>SUM(C31:X31)</f>
        <v>113035983</v>
      </c>
    </row>
    <row r="32" spans="1:25" s="336" customFormat="1" ht="18" customHeight="1">
      <c r="A32" s="1730" t="s">
        <v>337</v>
      </c>
      <c r="B32" s="1731"/>
      <c r="C32" s="1052">
        <f>SUM(C30:C31)</f>
        <v>112376790</v>
      </c>
      <c r="D32" s="1052">
        <f t="shared" ref="D32:W32" si="6">SUM(D30:D31)</f>
        <v>312450</v>
      </c>
      <c r="E32" s="1052">
        <f t="shared" si="6"/>
        <v>376500</v>
      </c>
      <c r="F32" s="1052">
        <f t="shared" si="6"/>
        <v>3570000</v>
      </c>
      <c r="G32" s="1052">
        <f t="shared" si="6"/>
        <v>20842365</v>
      </c>
      <c r="H32" s="1052">
        <f t="shared" si="6"/>
        <v>8040366</v>
      </c>
      <c r="I32" s="1052">
        <f t="shared" si="6"/>
        <v>15251301</v>
      </c>
      <c r="J32" s="1052">
        <f t="shared" si="6"/>
        <v>7297500</v>
      </c>
      <c r="K32" s="1052">
        <f t="shared" si="6"/>
        <v>0</v>
      </c>
      <c r="L32" s="1052">
        <f t="shared" si="6"/>
        <v>301500</v>
      </c>
      <c r="M32" s="1052">
        <f t="shared" si="6"/>
        <v>0</v>
      </c>
      <c r="N32" s="1052">
        <f t="shared" si="6"/>
        <v>7778220</v>
      </c>
      <c r="O32" s="1052">
        <f t="shared" si="6"/>
        <v>11000163</v>
      </c>
      <c r="P32" s="1052">
        <f t="shared" si="6"/>
        <v>11000163</v>
      </c>
      <c r="Q32" s="1052">
        <f t="shared" si="6"/>
        <v>9654555</v>
      </c>
      <c r="R32" s="1052">
        <f t="shared" si="6"/>
        <v>95700</v>
      </c>
      <c r="S32" s="1052">
        <f t="shared" si="6"/>
        <v>0</v>
      </c>
      <c r="T32" s="1052">
        <f t="shared" si="6"/>
        <v>0</v>
      </c>
      <c r="U32" s="1052">
        <f t="shared" si="6"/>
        <v>324000</v>
      </c>
      <c r="V32" s="1052">
        <f t="shared" si="6"/>
        <v>0</v>
      </c>
      <c r="W32" s="1052">
        <f t="shared" si="6"/>
        <v>192000</v>
      </c>
      <c r="X32" s="1052"/>
      <c r="Y32" s="1052">
        <f t="shared" ref="Y32" si="7">SUM(Y30:Y31)</f>
        <v>208413573</v>
      </c>
    </row>
    <row r="33" spans="1:27" s="15" customFormat="1" ht="18" customHeight="1">
      <c r="A33" s="1732" t="s">
        <v>1429</v>
      </c>
      <c r="B33" s="1733"/>
      <c r="C33" s="1733"/>
      <c r="D33" s="1733"/>
      <c r="E33" s="1733"/>
      <c r="F33" s="1733"/>
      <c r="G33" s="1733"/>
      <c r="H33" s="1733"/>
      <c r="I33" s="1733"/>
      <c r="J33" s="1733"/>
      <c r="K33" s="1733"/>
      <c r="L33" s="1733"/>
      <c r="M33" s="1733"/>
      <c r="N33" s="1733"/>
      <c r="O33" s="1733"/>
      <c r="P33" s="1733"/>
      <c r="Q33" s="1733"/>
      <c r="R33" s="1733"/>
      <c r="S33" s="1733"/>
      <c r="T33" s="1733"/>
      <c r="U33" s="1733"/>
      <c r="V33" s="1733"/>
      <c r="W33" s="1733"/>
      <c r="X33" s="1733"/>
      <c r="Y33" s="1734"/>
    </row>
    <row r="34" spans="1:27" s="15" customFormat="1" ht="18" customHeight="1">
      <c r="A34" s="1730" t="s">
        <v>1630</v>
      </c>
      <c r="B34" s="1731"/>
      <c r="C34" s="1052">
        <v>32466204</v>
      </c>
      <c r="D34" s="1052">
        <v>216150</v>
      </c>
      <c r="E34" s="1052">
        <v>144900</v>
      </c>
      <c r="F34" s="1052">
        <v>2310000</v>
      </c>
      <c r="G34" s="1052">
        <v>4026810</v>
      </c>
      <c r="H34" s="1052">
        <v>1410000</v>
      </c>
      <c r="I34" s="1052">
        <v>2945280</v>
      </c>
      <c r="J34" s="1052">
        <v>2850000</v>
      </c>
      <c r="K34" s="1052"/>
      <c r="L34" s="1052"/>
      <c r="M34" s="1052"/>
      <c r="N34" s="1052">
        <v>2251461</v>
      </c>
      <c r="O34" s="1052">
        <v>3172821</v>
      </c>
      <c r="P34" s="1052">
        <f>+O34</f>
        <v>3172821</v>
      </c>
      <c r="Q34" s="1052">
        <v>2205147</v>
      </c>
      <c r="R34" s="1052"/>
      <c r="S34" s="1052"/>
      <c r="T34" s="1052"/>
      <c r="U34" s="1052">
        <v>648000</v>
      </c>
      <c r="V34" s="1052"/>
      <c r="W34" s="1052">
        <v>324000</v>
      </c>
      <c r="X34" s="1052"/>
      <c r="Y34" s="1052">
        <f>SUM(C34:X34)</f>
        <v>58143594</v>
      </c>
    </row>
    <row r="35" spans="1:27" s="336" customFormat="1" ht="18" customHeight="1">
      <c r="A35" s="1730" t="s">
        <v>753</v>
      </c>
      <c r="B35" s="1731"/>
      <c r="C35" s="1052">
        <v>14748540</v>
      </c>
      <c r="D35" s="1052"/>
      <c r="E35" s="1052">
        <v>12000</v>
      </c>
      <c r="F35" s="1052"/>
      <c r="G35" s="1052">
        <v>3499290</v>
      </c>
      <c r="H35" s="1052">
        <v>1611303</v>
      </c>
      <c r="I35" s="1052">
        <v>3337041</v>
      </c>
      <c r="J35" s="1052">
        <v>240000</v>
      </c>
      <c r="K35" s="1052"/>
      <c r="L35" s="1052">
        <v>9000</v>
      </c>
      <c r="M35" s="1052"/>
      <c r="N35" s="1052">
        <v>1037292</v>
      </c>
      <c r="O35" s="1052">
        <v>1444161</v>
      </c>
      <c r="P35" s="1052">
        <f>+O35</f>
        <v>1444161</v>
      </c>
      <c r="Q35" s="1052">
        <f>+P35</f>
        <v>1444161</v>
      </c>
      <c r="R35" s="1052">
        <v>44550</v>
      </c>
      <c r="S35" s="1052"/>
      <c r="T35" s="1052"/>
      <c r="U35" s="1052"/>
      <c r="V35" s="1052"/>
      <c r="W35" s="1052"/>
      <c r="X35" s="1052"/>
      <c r="Y35" s="1052">
        <f>SUM(C35:X35)</f>
        <v>28871499</v>
      </c>
    </row>
    <row r="36" spans="1:27" s="336" customFormat="1" ht="18" customHeight="1">
      <c r="A36" s="1730" t="s">
        <v>337</v>
      </c>
      <c r="B36" s="1731"/>
      <c r="C36" s="1052">
        <f>SUM(C34:C35)</f>
        <v>47214744</v>
      </c>
      <c r="D36" s="1052">
        <f t="shared" ref="D36:W36" si="8">SUM(D34:D35)</f>
        <v>216150</v>
      </c>
      <c r="E36" s="1052">
        <f t="shared" si="8"/>
        <v>156900</v>
      </c>
      <c r="F36" s="1052">
        <f t="shared" si="8"/>
        <v>2310000</v>
      </c>
      <c r="G36" s="1052">
        <f t="shared" si="8"/>
        <v>7526100</v>
      </c>
      <c r="H36" s="1052">
        <f t="shared" si="8"/>
        <v>3021303</v>
      </c>
      <c r="I36" s="1052">
        <f t="shared" si="8"/>
        <v>6282321</v>
      </c>
      <c r="J36" s="1052">
        <f t="shared" si="8"/>
        <v>3090000</v>
      </c>
      <c r="K36" s="1052">
        <f t="shared" si="8"/>
        <v>0</v>
      </c>
      <c r="L36" s="1052">
        <f t="shared" si="8"/>
        <v>9000</v>
      </c>
      <c r="M36" s="1052">
        <f t="shared" si="8"/>
        <v>0</v>
      </c>
      <c r="N36" s="1052">
        <f t="shared" si="8"/>
        <v>3288753</v>
      </c>
      <c r="O36" s="1052">
        <f t="shared" si="8"/>
        <v>4616982</v>
      </c>
      <c r="P36" s="1052">
        <f t="shared" si="8"/>
        <v>4616982</v>
      </c>
      <c r="Q36" s="1052">
        <f t="shared" si="8"/>
        <v>3649308</v>
      </c>
      <c r="R36" s="1052">
        <f t="shared" si="8"/>
        <v>44550</v>
      </c>
      <c r="S36" s="1052">
        <f t="shared" si="8"/>
        <v>0</v>
      </c>
      <c r="T36" s="1052">
        <f t="shared" si="8"/>
        <v>0</v>
      </c>
      <c r="U36" s="1052">
        <f t="shared" si="8"/>
        <v>648000</v>
      </c>
      <c r="V36" s="1052">
        <f t="shared" si="8"/>
        <v>0</v>
      </c>
      <c r="W36" s="1052">
        <f t="shared" si="8"/>
        <v>324000</v>
      </c>
      <c r="X36" s="1052"/>
      <c r="Y36" s="1052">
        <f t="shared" ref="Y36" si="9">SUM(Y34:Y35)</f>
        <v>87015093</v>
      </c>
    </row>
    <row r="37" spans="1:27" s="15" customFormat="1" ht="18" customHeight="1">
      <c r="A37" s="1732" t="s">
        <v>145</v>
      </c>
      <c r="B37" s="1733"/>
      <c r="C37" s="1733"/>
      <c r="D37" s="1733"/>
      <c r="E37" s="1733"/>
      <c r="F37" s="1733"/>
      <c r="G37" s="1733"/>
      <c r="H37" s="1733"/>
      <c r="I37" s="1733"/>
      <c r="J37" s="1733"/>
      <c r="K37" s="1733"/>
      <c r="L37" s="1733"/>
      <c r="M37" s="1733"/>
      <c r="N37" s="1733"/>
      <c r="O37" s="1733"/>
      <c r="P37" s="1733"/>
      <c r="Q37" s="1733"/>
      <c r="R37" s="1733"/>
      <c r="S37" s="1733"/>
      <c r="T37" s="1733"/>
      <c r="U37" s="1733"/>
      <c r="V37" s="1733"/>
      <c r="W37" s="1733"/>
      <c r="X37" s="1733"/>
      <c r="Y37" s="1734"/>
    </row>
    <row r="38" spans="1:27" s="15" customFormat="1" ht="18" customHeight="1">
      <c r="A38" s="1730" t="s">
        <v>1630</v>
      </c>
      <c r="B38" s="1731"/>
      <c r="C38" s="1052">
        <v>103504620</v>
      </c>
      <c r="D38" s="1052">
        <v>487950</v>
      </c>
      <c r="E38" s="1052">
        <v>410100</v>
      </c>
      <c r="F38" s="1052">
        <v>5166000</v>
      </c>
      <c r="G38" s="1052">
        <v>15068844</v>
      </c>
      <c r="H38" s="1052">
        <v>5415000</v>
      </c>
      <c r="I38" s="1052">
        <v>10308480</v>
      </c>
      <c r="J38" s="1052">
        <v>7860000</v>
      </c>
      <c r="K38" s="1052"/>
      <c r="L38" s="1052">
        <v>18000</v>
      </c>
      <c r="M38" s="1052"/>
      <c r="N38" s="1052">
        <v>7224726</v>
      </c>
      <c r="O38" s="1052">
        <v>10118982</v>
      </c>
      <c r="P38" s="1052">
        <f>+O38</f>
        <v>10118982</v>
      </c>
      <c r="Q38" s="1052">
        <v>7977189</v>
      </c>
      <c r="R38" s="1052"/>
      <c r="S38" s="1052"/>
      <c r="T38" s="1052"/>
      <c r="U38" s="1052">
        <v>1404000</v>
      </c>
      <c r="V38" s="1052"/>
      <c r="W38" s="1052">
        <v>454500</v>
      </c>
      <c r="X38" s="1052"/>
      <c r="Y38" s="1052">
        <f>SUM(C38:X38)</f>
        <v>185537373</v>
      </c>
    </row>
    <row r="39" spans="1:27" s="336" customFormat="1" ht="18" customHeight="1">
      <c r="A39" s="1730" t="s">
        <v>753</v>
      </c>
      <c r="B39" s="1731"/>
      <c r="C39" s="1052">
        <v>34061580</v>
      </c>
      <c r="D39" s="1052"/>
      <c r="E39" s="1052"/>
      <c r="F39" s="1052"/>
      <c r="G39" s="1052">
        <v>9526704</v>
      </c>
      <c r="H39" s="1052">
        <v>3743637</v>
      </c>
      <c r="I39" s="1052">
        <v>8594550</v>
      </c>
      <c r="J39" s="1052">
        <v>390000</v>
      </c>
      <c r="K39" s="1052"/>
      <c r="L39" s="1052">
        <v>54000</v>
      </c>
      <c r="M39" s="1052"/>
      <c r="N39" s="1052">
        <v>2371923</v>
      </c>
      <c r="O39" s="1052">
        <v>3335556</v>
      </c>
      <c r="P39" s="1052">
        <f>+O39</f>
        <v>3335556</v>
      </c>
      <c r="Q39" s="1052">
        <f>+P39</f>
        <v>3335556</v>
      </c>
      <c r="R39" s="1052">
        <v>160650</v>
      </c>
      <c r="S39" s="1052"/>
      <c r="T39" s="1052"/>
      <c r="U39" s="1052"/>
      <c r="V39" s="1052"/>
      <c r="W39" s="1052"/>
      <c r="X39" s="1052"/>
      <c r="Y39" s="1052">
        <f>SUM(C39:X39)</f>
        <v>68909712</v>
      </c>
    </row>
    <row r="40" spans="1:27" s="336" customFormat="1" ht="18" customHeight="1">
      <c r="A40" s="1730" t="s">
        <v>337</v>
      </c>
      <c r="B40" s="1731"/>
      <c r="C40" s="1052">
        <f>SUM(C38:C39)</f>
        <v>137566200</v>
      </c>
      <c r="D40" s="1052">
        <f t="shared" ref="D40:W40" si="10">SUM(D38:D39)</f>
        <v>487950</v>
      </c>
      <c r="E40" s="1052">
        <f t="shared" si="10"/>
        <v>410100</v>
      </c>
      <c r="F40" s="1052">
        <f t="shared" si="10"/>
        <v>5166000</v>
      </c>
      <c r="G40" s="1052">
        <f t="shared" si="10"/>
        <v>24595548</v>
      </c>
      <c r="H40" s="1052">
        <f t="shared" si="10"/>
        <v>9158637</v>
      </c>
      <c r="I40" s="1052">
        <f t="shared" si="10"/>
        <v>18903030</v>
      </c>
      <c r="J40" s="1052">
        <f t="shared" si="10"/>
        <v>8250000</v>
      </c>
      <c r="K40" s="1052">
        <f t="shared" si="10"/>
        <v>0</v>
      </c>
      <c r="L40" s="1052">
        <f t="shared" si="10"/>
        <v>72000</v>
      </c>
      <c r="M40" s="1052">
        <f t="shared" si="10"/>
        <v>0</v>
      </c>
      <c r="N40" s="1052">
        <f t="shared" si="10"/>
        <v>9596649</v>
      </c>
      <c r="O40" s="1052">
        <f t="shared" si="10"/>
        <v>13454538</v>
      </c>
      <c r="P40" s="1052">
        <f t="shared" si="10"/>
        <v>13454538</v>
      </c>
      <c r="Q40" s="1052">
        <f t="shared" si="10"/>
        <v>11312745</v>
      </c>
      <c r="R40" s="1052">
        <f t="shared" si="10"/>
        <v>160650</v>
      </c>
      <c r="S40" s="1052">
        <f t="shared" si="10"/>
        <v>0</v>
      </c>
      <c r="T40" s="1052">
        <f t="shared" si="10"/>
        <v>0</v>
      </c>
      <c r="U40" s="1052">
        <f t="shared" si="10"/>
        <v>1404000</v>
      </c>
      <c r="V40" s="1052">
        <f t="shared" si="10"/>
        <v>0</v>
      </c>
      <c r="W40" s="1052">
        <f t="shared" si="10"/>
        <v>454500</v>
      </c>
      <c r="X40" s="1052"/>
      <c r="Y40" s="1052">
        <f t="shared" ref="Y40" si="11">SUM(Y38:Y39)</f>
        <v>254447085</v>
      </c>
    </row>
    <row r="41" spans="1:27" s="15" customFormat="1" ht="18" customHeight="1">
      <c r="A41" s="1732" t="s">
        <v>1430</v>
      </c>
      <c r="B41" s="1733"/>
      <c r="C41" s="1733"/>
      <c r="D41" s="1733"/>
      <c r="E41" s="1733"/>
      <c r="F41" s="1733"/>
      <c r="G41" s="1733"/>
      <c r="H41" s="1733"/>
      <c r="I41" s="1733"/>
      <c r="J41" s="1733"/>
      <c r="K41" s="1733"/>
      <c r="L41" s="1733"/>
      <c r="M41" s="1733"/>
      <c r="N41" s="1733"/>
      <c r="O41" s="1733"/>
      <c r="P41" s="1733"/>
      <c r="Q41" s="1733"/>
      <c r="R41" s="1733"/>
      <c r="S41" s="1733"/>
      <c r="T41" s="1733"/>
      <c r="U41" s="1733"/>
      <c r="V41" s="1733"/>
      <c r="W41" s="1733"/>
      <c r="X41" s="1733"/>
      <c r="Y41" s="1734"/>
    </row>
    <row r="42" spans="1:27" s="15" customFormat="1" ht="18" customHeight="1">
      <c r="A42" s="1730" t="s">
        <v>1630</v>
      </c>
      <c r="B42" s="1731"/>
      <c r="C42" s="1052">
        <v>60427920</v>
      </c>
      <c r="D42" s="1052">
        <v>286950</v>
      </c>
      <c r="E42" s="1052">
        <v>262200</v>
      </c>
      <c r="F42" s="1052">
        <v>3150000</v>
      </c>
      <c r="G42" s="1052">
        <v>10847406</v>
      </c>
      <c r="H42" s="1052">
        <v>3480000</v>
      </c>
      <c r="I42" s="1052">
        <v>5990400</v>
      </c>
      <c r="J42" s="1052">
        <v>3307500</v>
      </c>
      <c r="K42" s="1052"/>
      <c r="L42" s="1052"/>
      <c r="M42" s="1052"/>
      <c r="N42" s="1052">
        <v>4232229</v>
      </c>
      <c r="O42" s="1052">
        <v>5909373</v>
      </c>
      <c r="P42" s="1052">
        <f>+O42</f>
        <v>5909373</v>
      </c>
      <c r="Q42" s="1052">
        <v>4724595</v>
      </c>
      <c r="R42" s="1052"/>
      <c r="S42" s="1052"/>
      <c r="T42" s="1052">
        <v>36000</v>
      </c>
      <c r="U42" s="1052">
        <v>216000</v>
      </c>
      <c r="V42" s="1052"/>
      <c r="W42" s="1052">
        <v>42000</v>
      </c>
      <c r="X42" s="1052"/>
      <c r="Y42" s="1052">
        <f>SUM(C42:X42)</f>
        <v>108821946</v>
      </c>
    </row>
    <row r="43" spans="1:27" s="336" customFormat="1" ht="18" customHeight="1">
      <c r="A43" s="1730" t="s">
        <v>753</v>
      </c>
      <c r="B43" s="1731"/>
      <c r="C43" s="1052">
        <v>8963310</v>
      </c>
      <c r="D43" s="1052"/>
      <c r="E43" s="1052"/>
      <c r="F43" s="1052"/>
      <c r="G43" s="1052">
        <v>1744653</v>
      </c>
      <c r="H43" s="1052">
        <v>987861</v>
      </c>
      <c r="I43" s="1052">
        <v>2225061</v>
      </c>
      <c r="J43" s="1052">
        <v>30000</v>
      </c>
      <c r="K43" s="1052"/>
      <c r="L43" s="1052"/>
      <c r="M43" s="1052"/>
      <c r="N43" s="1052">
        <v>629568</v>
      </c>
      <c r="O43" s="1052">
        <v>879330</v>
      </c>
      <c r="P43" s="1052">
        <f>+O43</f>
        <v>879330</v>
      </c>
      <c r="Q43" s="1052">
        <f>+P43</f>
        <v>879330</v>
      </c>
      <c r="R43" s="1052">
        <v>52650</v>
      </c>
      <c r="S43" s="1052"/>
      <c r="T43" s="1052"/>
      <c r="U43" s="1052"/>
      <c r="V43" s="1052"/>
      <c r="W43" s="1052"/>
      <c r="X43" s="1052"/>
      <c r="Y43" s="1052">
        <f>SUM(C43:X43)</f>
        <v>17271093</v>
      </c>
    </row>
    <row r="44" spans="1:27" s="336" customFormat="1" ht="18" customHeight="1">
      <c r="A44" s="1730" t="s">
        <v>337</v>
      </c>
      <c r="B44" s="1731"/>
      <c r="C44" s="1052">
        <f>SUM(C42:C43)</f>
        <v>69391230</v>
      </c>
      <c r="D44" s="1052">
        <f t="shared" ref="D44:W44" si="12">SUM(D42:D43)</f>
        <v>286950</v>
      </c>
      <c r="E44" s="1052">
        <f t="shared" si="12"/>
        <v>262200</v>
      </c>
      <c r="F44" s="1052">
        <f t="shared" si="12"/>
        <v>3150000</v>
      </c>
      <c r="G44" s="1052">
        <f t="shared" si="12"/>
        <v>12592059</v>
      </c>
      <c r="H44" s="1052">
        <f t="shared" si="12"/>
        <v>4467861</v>
      </c>
      <c r="I44" s="1052">
        <f t="shared" si="12"/>
        <v>8215461</v>
      </c>
      <c r="J44" s="1052">
        <f t="shared" si="12"/>
        <v>3337500</v>
      </c>
      <c r="K44" s="1052">
        <f t="shared" si="12"/>
        <v>0</v>
      </c>
      <c r="L44" s="1052">
        <f t="shared" si="12"/>
        <v>0</v>
      </c>
      <c r="M44" s="1052">
        <f t="shared" si="12"/>
        <v>0</v>
      </c>
      <c r="N44" s="1052">
        <f t="shared" si="12"/>
        <v>4861797</v>
      </c>
      <c r="O44" s="1052">
        <f t="shared" si="12"/>
        <v>6788703</v>
      </c>
      <c r="P44" s="1052">
        <f t="shared" si="12"/>
        <v>6788703</v>
      </c>
      <c r="Q44" s="1052">
        <f t="shared" si="12"/>
        <v>5603925</v>
      </c>
      <c r="R44" s="1052">
        <f t="shared" si="12"/>
        <v>52650</v>
      </c>
      <c r="S44" s="1052">
        <f t="shared" si="12"/>
        <v>0</v>
      </c>
      <c r="T44" s="1052">
        <f t="shared" si="12"/>
        <v>36000</v>
      </c>
      <c r="U44" s="1052">
        <f t="shared" si="12"/>
        <v>216000</v>
      </c>
      <c r="V44" s="1052">
        <f t="shared" si="12"/>
        <v>0</v>
      </c>
      <c r="W44" s="1052">
        <f t="shared" si="12"/>
        <v>42000</v>
      </c>
      <c r="X44" s="1052"/>
      <c r="Y44" s="1052">
        <f t="shared" ref="Y44" si="13">SUM(Y42:Y43)</f>
        <v>126093039</v>
      </c>
    </row>
    <row r="45" spans="1:27">
      <c r="A45" s="1737" t="s">
        <v>338</v>
      </c>
      <c r="B45" s="1738"/>
      <c r="C45" s="1053">
        <f>SUM(C16+C20+C24+C28+C32+C36+C40+C44)</f>
        <v>1089209784</v>
      </c>
      <c r="D45" s="1053">
        <f t="shared" ref="D45:Y45" si="14">SUM(D16+D20+D24+D28+D32+D36+D40+D44)</f>
        <v>2657400</v>
      </c>
      <c r="E45" s="1053">
        <f t="shared" si="14"/>
        <v>2555100</v>
      </c>
      <c r="F45" s="1053">
        <f t="shared" si="14"/>
        <v>28974000</v>
      </c>
      <c r="G45" s="1053">
        <f t="shared" si="14"/>
        <v>229223637</v>
      </c>
      <c r="H45" s="1053">
        <f t="shared" si="14"/>
        <v>86523978</v>
      </c>
      <c r="I45" s="1053">
        <f t="shared" si="14"/>
        <v>187421664</v>
      </c>
      <c r="J45" s="1053">
        <f t="shared" si="14"/>
        <v>44745000</v>
      </c>
      <c r="K45" s="1053">
        <f t="shared" si="14"/>
        <v>0</v>
      </c>
      <c r="L45" s="1053">
        <f t="shared" si="14"/>
        <v>726750</v>
      </c>
      <c r="M45" s="1053">
        <f t="shared" si="14"/>
        <v>0</v>
      </c>
      <c r="N45" s="1053">
        <f t="shared" si="14"/>
        <v>75601215</v>
      </c>
      <c r="O45" s="1053">
        <f t="shared" si="14"/>
        <v>106646988</v>
      </c>
      <c r="P45" s="1053">
        <f t="shared" si="14"/>
        <v>106646988</v>
      </c>
      <c r="Q45" s="1053">
        <f t="shared" si="14"/>
        <v>94910592</v>
      </c>
      <c r="R45" s="1053">
        <f t="shared" si="14"/>
        <v>4237050</v>
      </c>
      <c r="S45" s="1053">
        <f t="shared" si="14"/>
        <v>0</v>
      </c>
      <c r="T45" s="1053">
        <f t="shared" si="14"/>
        <v>594000</v>
      </c>
      <c r="U45" s="1053">
        <f t="shared" si="14"/>
        <v>5400000</v>
      </c>
      <c r="V45" s="1053">
        <f t="shared" si="14"/>
        <v>0</v>
      </c>
      <c r="W45" s="1053">
        <f t="shared" si="14"/>
        <v>3261300</v>
      </c>
      <c r="X45" s="1052"/>
      <c r="Y45" s="1053">
        <f t="shared" si="14"/>
        <v>2069335446</v>
      </c>
    </row>
    <row r="46" spans="1:27">
      <c r="A46" s="1735" t="s">
        <v>339</v>
      </c>
      <c r="B46" s="1736"/>
      <c r="C46" s="1736"/>
      <c r="D46" s="1736"/>
      <c r="E46" s="1736"/>
      <c r="F46" s="1736"/>
      <c r="G46" s="1736"/>
      <c r="H46" s="1736"/>
      <c r="I46" s="1736"/>
      <c r="J46" s="1736"/>
      <c r="K46" s="1736"/>
      <c r="L46" s="1736"/>
      <c r="M46" s="1736"/>
      <c r="N46" s="1736"/>
      <c r="O46" s="1736"/>
      <c r="P46" s="1736"/>
      <c r="Q46" s="1736"/>
      <c r="R46" s="1736"/>
      <c r="S46" s="1736"/>
      <c r="T46" s="1736"/>
      <c r="U46" s="1736"/>
      <c r="V46" s="1736"/>
      <c r="W46" s="1736"/>
      <c r="X46" s="1736"/>
      <c r="Y46" s="1736"/>
    </row>
    <row r="47" spans="1:27">
      <c r="A47" s="61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26"/>
      <c r="AA47" s="1" t="e">
        <f>+'[1]2019'!AB27:AB28/1000000</f>
        <v>#VALUE!</v>
      </c>
    </row>
    <row r="48" spans="1:27">
      <c r="A48" s="61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AA48" s="26"/>
    </row>
    <row r="49" spans="1:27">
      <c r="A49" s="61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AA49" s="26"/>
    </row>
    <row r="50" spans="1:27" hidden="1">
      <c r="A50" s="61"/>
      <c r="B50" s="61"/>
      <c r="C50" s="1060">
        <f>+C14</f>
        <v>313549890</v>
      </c>
      <c r="D50" s="1060">
        <f t="shared" ref="D50:X50" si="15">+D14</f>
        <v>129750</v>
      </c>
      <c r="E50" s="1060">
        <f t="shared" si="15"/>
        <v>111900</v>
      </c>
      <c r="F50" s="1060">
        <f t="shared" si="15"/>
        <v>1386000</v>
      </c>
      <c r="G50" s="1060">
        <v>47780568</v>
      </c>
      <c r="H50" s="1060">
        <f t="shared" si="15"/>
        <v>33101199</v>
      </c>
      <c r="I50" s="1060">
        <f t="shared" si="15"/>
        <v>82785150</v>
      </c>
      <c r="J50" s="1060">
        <f t="shared" si="15"/>
        <v>1110000</v>
      </c>
      <c r="K50" s="1060">
        <f t="shared" si="15"/>
        <v>0</v>
      </c>
      <c r="L50" s="1060">
        <f t="shared" si="15"/>
        <v>234000</v>
      </c>
      <c r="M50" s="1060">
        <f t="shared" si="15"/>
        <v>0</v>
      </c>
      <c r="N50" s="1060">
        <f t="shared" si="15"/>
        <v>21812355</v>
      </c>
      <c r="O50" s="1060">
        <f t="shared" si="15"/>
        <v>30748563</v>
      </c>
      <c r="P50" s="1060">
        <f t="shared" si="15"/>
        <v>30748563</v>
      </c>
      <c r="Q50" s="1060">
        <f t="shared" si="15"/>
        <v>29963460</v>
      </c>
      <c r="R50" s="1060">
        <f t="shared" si="15"/>
        <v>3317850</v>
      </c>
      <c r="S50" s="1060">
        <f t="shared" si="15"/>
        <v>0</v>
      </c>
      <c r="T50" s="1060">
        <f t="shared" si="15"/>
        <v>405000</v>
      </c>
      <c r="U50" s="1060">
        <f t="shared" si="15"/>
        <v>0</v>
      </c>
      <c r="V50" s="1060">
        <f t="shared" si="15"/>
        <v>0</v>
      </c>
      <c r="W50" s="1060">
        <f t="shared" si="15"/>
        <v>1417800</v>
      </c>
      <c r="X50" s="1060">
        <f t="shared" si="15"/>
        <v>0</v>
      </c>
      <c r="Y50" s="1060">
        <f>SUM(C50:X50)</f>
        <v>598602048</v>
      </c>
      <c r="Z50" s="1055"/>
      <c r="AA50" s="1056"/>
    </row>
    <row r="51" spans="1:27" hidden="1">
      <c r="A51" s="61"/>
      <c r="B51" s="61"/>
      <c r="C51" s="1060">
        <f>+C13+C18+C22+C26+C30+C34+C38+C42</f>
        <v>536332884</v>
      </c>
      <c r="D51" s="1060">
        <f t="shared" ref="D51:X51" si="16">+D13+D18+D22+D26+D30+D34+D38+D42</f>
        <v>2527650</v>
      </c>
      <c r="E51" s="1060">
        <f t="shared" si="16"/>
        <v>2431200</v>
      </c>
      <c r="F51" s="1060">
        <f t="shared" si="16"/>
        <v>27588000</v>
      </c>
      <c r="G51" s="1060">
        <v>38764724</v>
      </c>
      <c r="H51" s="1060">
        <f t="shared" si="16"/>
        <v>32295000</v>
      </c>
      <c r="I51" s="1060">
        <f t="shared" si="16"/>
        <v>57807360</v>
      </c>
      <c r="J51" s="1060">
        <f t="shared" si="16"/>
        <v>42585000</v>
      </c>
      <c r="K51" s="1060">
        <f t="shared" si="16"/>
        <v>0</v>
      </c>
      <c r="L51" s="1060">
        <f t="shared" si="16"/>
        <v>310500</v>
      </c>
      <c r="M51" s="1060">
        <f t="shared" si="16"/>
        <v>0</v>
      </c>
      <c r="N51" s="1060">
        <f t="shared" si="16"/>
        <v>40954629</v>
      </c>
      <c r="O51" s="1060">
        <f t="shared" si="16"/>
        <v>58035864</v>
      </c>
      <c r="P51" s="1060">
        <f t="shared" si="16"/>
        <v>58035864</v>
      </c>
      <c r="Q51" s="1060">
        <f t="shared" si="16"/>
        <v>47084571</v>
      </c>
      <c r="R51" s="1060">
        <f t="shared" si="16"/>
        <v>0</v>
      </c>
      <c r="S51" s="1060">
        <f t="shared" si="16"/>
        <v>0</v>
      </c>
      <c r="T51" s="1060">
        <f t="shared" si="16"/>
        <v>36000</v>
      </c>
      <c r="U51" s="1060">
        <f t="shared" si="16"/>
        <v>5400000</v>
      </c>
      <c r="V51" s="1060">
        <f t="shared" si="16"/>
        <v>0</v>
      </c>
      <c r="W51" s="1060">
        <f t="shared" si="16"/>
        <v>1843500</v>
      </c>
      <c r="X51" s="1060">
        <f t="shared" si="16"/>
        <v>0</v>
      </c>
      <c r="Y51" s="1060">
        <f t="shared" ref="Y51:Y52" si="17">SUM(C51:X51)</f>
        <v>952032746</v>
      </c>
      <c r="Z51" s="1055"/>
    </row>
    <row r="52" spans="1:27" hidden="1">
      <c r="C52" s="1061">
        <f>+C19+C23+C27+C31+C35+C39+C43</f>
        <v>239327010</v>
      </c>
      <c r="D52" s="1061">
        <f t="shared" ref="D52:X52" si="18">+D19+D23+D27+D31+D35+D39+D43</f>
        <v>0</v>
      </c>
      <c r="E52" s="1061">
        <f t="shared" si="18"/>
        <v>12000</v>
      </c>
      <c r="F52" s="1061">
        <f t="shared" si="18"/>
        <v>0</v>
      </c>
      <c r="G52" s="1061">
        <v>8292429</v>
      </c>
      <c r="H52" s="1061">
        <f t="shared" si="18"/>
        <v>21127779</v>
      </c>
      <c r="I52" s="1061">
        <f t="shared" si="18"/>
        <v>46829154</v>
      </c>
      <c r="J52" s="1061">
        <f t="shared" si="18"/>
        <v>1050000</v>
      </c>
      <c r="K52" s="1061">
        <f t="shared" si="18"/>
        <v>0</v>
      </c>
      <c r="L52" s="1061">
        <f t="shared" si="18"/>
        <v>182250</v>
      </c>
      <c r="M52" s="1061">
        <f t="shared" si="18"/>
        <v>0</v>
      </c>
      <c r="N52" s="1061">
        <f t="shared" si="18"/>
        <v>12834231</v>
      </c>
      <c r="O52" s="1061">
        <f t="shared" si="18"/>
        <v>17862561</v>
      </c>
      <c r="P52" s="1061">
        <f t="shared" si="18"/>
        <v>17862561</v>
      </c>
      <c r="Q52" s="1061">
        <f t="shared" si="18"/>
        <v>17862561</v>
      </c>
      <c r="R52" s="1061">
        <f t="shared" si="18"/>
        <v>919200</v>
      </c>
      <c r="S52" s="1061">
        <f t="shared" si="18"/>
        <v>0</v>
      </c>
      <c r="T52" s="1061">
        <f t="shared" si="18"/>
        <v>153000</v>
      </c>
      <c r="U52" s="1061">
        <f t="shared" si="18"/>
        <v>0</v>
      </c>
      <c r="V52" s="1061">
        <f t="shared" si="18"/>
        <v>0</v>
      </c>
      <c r="W52" s="1061">
        <f t="shared" si="18"/>
        <v>0</v>
      </c>
      <c r="X52" s="1061">
        <f t="shared" si="18"/>
        <v>0</v>
      </c>
      <c r="Y52" s="1060">
        <f t="shared" si="17"/>
        <v>384314736</v>
      </c>
      <c r="Z52" s="1055"/>
    </row>
    <row r="53" spans="1:27" hidden="1">
      <c r="C53" s="1061">
        <f>SUM(C50:C52)</f>
        <v>1089209784</v>
      </c>
      <c r="D53" s="1061">
        <f t="shared" ref="D53:Y53" si="19">SUM(D50:D52)</f>
        <v>2657400</v>
      </c>
      <c r="E53" s="1061">
        <f t="shared" si="19"/>
        <v>2555100</v>
      </c>
      <c r="F53" s="1061">
        <f t="shared" si="19"/>
        <v>28974000</v>
      </c>
      <c r="G53" s="1061">
        <f t="shared" si="19"/>
        <v>94837721</v>
      </c>
      <c r="H53" s="1061">
        <f t="shared" si="19"/>
        <v>86523978</v>
      </c>
      <c r="I53" s="1061">
        <f t="shared" si="19"/>
        <v>187421664</v>
      </c>
      <c r="J53" s="1061">
        <f t="shared" si="19"/>
        <v>44745000</v>
      </c>
      <c r="K53" s="1061">
        <f t="shared" si="19"/>
        <v>0</v>
      </c>
      <c r="L53" s="1061">
        <f t="shared" si="19"/>
        <v>726750</v>
      </c>
      <c r="M53" s="1061">
        <f t="shared" si="19"/>
        <v>0</v>
      </c>
      <c r="N53" s="1061">
        <f t="shared" si="19"/>
        <v>75601215</v>
      </c>
      <c r="O53" s="1061">
        <f t="shared" si="19"/>
        <v>106646988</v>
      </c>
      <c r="P53" s="1061">
        <f t="shared" si="19"/>
        <v>106646988</v>
      </c>
      <c r="Q53" s="1061">
        <f t="shared" si="19"/>
        <v>94910592</v>
      </c>
      <c r="R53" s="1061">
        <f t="shared" si="19"/>
        <v>4237050</v>
      </c>
      <c r="S53" s="1061">
        <f t="shared" si="19"/>
        <v>0</v>
      </c>
      <c r="T53" s="1061">
        <f t="shared" si="19"/>
        <v>594000</v>
      </c>
      <c r="U53" s="1061">
        <f t="shared" si="19"/>
        <v>5400000</v>
      </c>
      <c r="V53" s="1061">
        <f t="shared" si="19"/>
        <v>0</v>
      </c>
      <c r="W53" s="1061">
        <f t="shared" si="19"/>
        <v>3261300</v>
      </c>
      <c r="X53" s="1061">
        <f t="shared" si="19"/>
        <v>0</v>
      </c>
      <c r="Y53" s="1061">
        <f t="shared" si="19"/>
        <v>1934949530</v>
      </c>
    </row>
    <row r="54" spans="1:27" hidden="1">
      <c r="C54" s="1061">
        <f>+C45</f>
        <v>1089209784</v>
      </c>
      <c r="D54" s="1061">
        <f t="shared" ref="D54:Y54" si="20">+D45</f>
        <v>2657400</v>
      </c>
      <c r="E54" s="1061">
        <f t="shared" si="20"/>
        <v>2555100</v>
      </c>
      <c r="F54" s="1061">
        <f t="shared" si="20"/>
        <v>28974000</v>
      </c>
      <c r="G54" s="1061">
        <f t="shared" si="20"/>
        <v>229223637</v>
      </c>
      <c r="H54" s="1061">
        <f t="shared" si="20"/>
        <v>86523978</v>
      </c>
      <c r="I54" s="1061">
        <f t="shared" si="20"/>
        <v>187421664</v>
      </c>
      <c r="J54" s="1061">
        <f t="shared" si="20"/>
        <v>44745000</v>
      </c>
      <c r="K54" s="1061">
        <f t="shared" si="20"/>
        <v>0</v>
      </c>
      <c r="L54" s="1061">
        <f t="shared" si="20"/>
        <v>726750</v>
      </c>
      <c r="M54" s="1061">
        <f t="shared" si="20"/>
        <v>0</v>
      </c>
      <c r="N54" s="1061">
        <f t="shared" si="20"/>
        <v>75601215</v>
      </c>
      <c r="O54" s="1061">
        <f t="shared" si="20"/>
        <v>106646988</v>
      </c>
      <c r="P54" s="1061">
        <f t="shared" si="20"/>
        <v>106646988</v>
      </c>
      <c r="Q54" s="1061">
        <f t="shared" si="20"/>
        <v>94910592</v>
      </c>
      <c r="R54" s="1061">
        <f t="shared" si="20"/>
        <v>4237050</v>
      </c>
      <c r="S54" s="1061">
        <f t="shared" si="20"/>
        <v>0</v>
      </c>
      <c r="T54" s="1061">
        <f t="shared" si="20"/>
        <v>594000</v>
      </c>
      <c r="U54" s="1061">
        <f t="shared" si="20"/>
        <v>5400000</v>
      </c>
      <c r="V54" s="1061">
        <f t="shared" si="20"/>
        <v>0</v>
      </c>
      <c r="W54" s="1061">
        <f t="shared" si="20"/>
        <v>3261300</v>
      </c>
      <c r="X54" s="1061">
        <f t="shared" si="20"/>
        <v>0</v>
      </c>
      <c r="Y54" s="1061">
        <f t="shared" si="20"/>
        <v>2069335446</v>
      </c>
    </row>
    <row r="55" spans="1:27" hidden="1">
      <c r="G55" s="1057"/>
      <c r="Y55" s="1054"/>
    </row>
    <row r="56" spans="1:27" hidden="1">
      <c r="G56" s="1057">
        <f>94838721/1000000</f>
        <v>94.838721000000007</v>
      </c>
      <c r="Y56" s="1054"/>
    </row>
    <row r="57" spans="1:27" hidden="1">
      <c r="G57" s="1">
        <f>98174640/1000000</f>
        <v>98.174639999999997</v>
      </c>
    </row>
    <row r="58" spans="1:27" hidden="1">
      <c r="G58" s="1">
        <f>36210276/1000000</f>
        <v>36.210276</v>
      </c>
    </row>
    <row r="59" spans="1:27" hidden="1">
      <c r="G59" s="1055">
        <f>SUM(G56:G58)</f>
        <v>229.223637</v>
      </c>
    </row>
    <row r="60" spans="1:27" hidden="1">
      <c r="G60" s="1">
        <f>47780568/1000000</f>
        <v>47.780568000000002</v>
      </c>
    </row>
    <row r="61" spans="1:27" hidden="1">
      <c r="G61" s="1">
        <f>8292429/1000000</f>
        <v>8.2924290000000003</v>
      </c>
    </row>
    <row r="62" spans="1:27" hidden="1">
      <c r="G62" s="1">
        <f>38765724/1000000</f>
        <v>38.765723999999999</v>
      </c>
    </row>
    <row r="63" spans="1:27" hidden="1">
      <c r="G63" s="1">
        <f>SUM(G60:G62)</f>
        <v>94.838720999999993</v>
      </c>
    </row>
    <row r="64" spans="1:27" hidden="1">
      <c r="G64" s="1061">
        <f>+G53-G63</f>
        <v>94837626.161278993</v>
      </c>
    </row>
  </sheetData>
  <mergeCells count="39">
    <mergeCell ref="A44:B44"/>
    <mergeCell ref="A45:B45"/>
    <mergeCell ref="A46:Y46"/>
    <mergeCell ref="A38:B38"/>
    <mergeCell ref="A39:B39"/>
    <mergeCell ref="A40:B40"/>
    <mergeCell ref="A41:Y41"/>
    <mergeCell ref="A42:B42"/>
    <mergeCell ref="A43:B43"/>
    <mergeCell ref="A37:Y37"/>
    <mergeCell ref="A26:B26"/>
    <mergeCell ref="A27:B27"/>
    <mergeCell ref="A28:B28"/>
    <mergeCell ref="A29:Y29"/>
    <mergeCell ref="A30:B30"/>
    <mergeCell ref="A31:B31"/>
    <mergeCell ref="A32:B32"/>
    <mergeCell ref="A33:Y33"/>
    <mergeCell ref="A34:B34"/>
    <mergeCell ref="A35:B35"/>
    <mergeCell ref="A36:B36"/>
    <mergeCell ref="A25:Y25"/>
    <mergeCell ref="A13:B13"/>
    <mergeCell ref="A14:B14"/>
    <mergeCell ref="A16:B16"/>
    <mergeCell ref="A17:Y17"/>
    <mergeCell ref="A18:B18"/>
    <mergeCell ref="A19:B19"/>
    <mergeCell ref="A20:B20"/>
    <mergeCell ref="A21:Y21"/>
    <mergeCell ref="A22:B22"/>
    <mergeCell ref="A23:B23"/>
    <mergeCell ref="A24:B24"/>
    <mergeCell ref="A11:Y11"/>
    <mergeCell ref="W1:Y1"/>
    <mergeCell ref="A2:Y2"/>
    <mergeCell ref="A4:Y4"/>
    <mergeCell ref="X5:Y5"/>
    <mergeCell ref="M6:M8"/>
  </mergeCells>
  <printOptions horizontalCentered="1"/>
  <pageMargins left="0.5" right="0.25" top="0.75" bottom="0.25" header="0.5" footer="0.5"/>
  <pageSetup paperSize="9" scale="72" orientation="landscape" r:id="rId1"/>
  <headerFooter alignWithMargins="0"/>
  <rowBreaks count="2" manualBreakCount="2">
    <brk id="18" max="16383" man="1"/>
    <brk id="34" max="2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E83"/>
  <sheetViews>
    <sheetView view="pageBreakPreview" zoomScale="80" zoomScaleSheetLayoutView="80" workbookViewId="0">
      <selection activeCell="E8" sqref="E8"/>
    </sheetView>
  </sheetViews>
  <sheetFormatPr defaultRowHeight="15"/>
  <cols>
    <col min="1" max="1" width="12.42578125" style="615" customWidth="1"/>
    <col min="2" max="5" width="25.7109375" style="615" customWidth="1"/>
    <col min="6" max="16384" width="9.140625" style="615"/>
  </cols>
  <sheetData>
    <row r="1" spans="1:5" ht="71.25" customHeight="1">
      <c r="A1" s="1740" t="s">
        <v>1188</v>
      </c>
      <c r="B1" s="1741"/>
      <c r="C1" s="1741"/>
      <c r="D1" s="1741"/>
      <c r="E1" s="1742"/>
    </row>
    <row r="2" spans="1:5" ht="125.25" hidden="1" customHeight="1">
      <c r="A2" s="616" t="s">
        <v>1030</v>
      </c>
      <c r="B2" s="617" t="s">
        <v>1031</v>
      </c>
      <c r="C2" s="617" t="s">
        <v>1032</v>
      </c>
      <c r="D2" s="617" t="s">
        <v>1033</v>
      </c>
      <c r="E2" s="617" t="s">
        <v>1034</v>
      </c>
    </row>
    <row r="3" spans="1:5" ht="120" customHeight="1">
      <c r="A3" s="622" t="s">
        <v>1186</v>
      </c>
      <c r="B3" s="618" t="s">
        <v>1035</v>
      </c>
      <c r="C3" s="619" t="s">
        <v>1036</v>
      </c>
      <c r="D3" s="620" t="s">
        <v>1037</v>
      </c>
      <c r="E3" s="621" t="s">
        <v>1038</v>
      </c>
    </row>
    <row r="4" spans="1:5" ht="30" customHeight="1">
      <c r="A4" s="1743" t="s">
        <v>1039</v>
      </c>
      <c r="B4" s="623" t="s">
        <v>1040</v>
      </c>
      <c r="C4" s="623" t="s">
        <v>1041</v>
      </c>
      <c r="D4" s="623" t="s">
        <v>146</v>
      </c>
      <c r="E4" s="623" t="s">
        <v>1042</v>
      </c>
    </row>
    <row r="5" spans="1:5" ht="30" customHeight="1">
      <c r="A5" s="1744"/>
      <c r="B5" s="623" t="s">
        <v>403</v>
      </c>
      <c r="C5" s="623" t="s">
        <v>1043</v>
      </c>
      <c r="D5" s="623" t="s">
        <v>367</v>
      </c>
      <c r="E5" s="623" t="s">
        <v>378</v>
      </c>
    </row>
    <row r="6" spans="1:5" ht="30" customHeight="1">
      <c r="A6" s="1744"/>
      <c r="B6" s="623" t="s">
        <v>368</v>
      </c>
      <c r="C6" s="623" t="s">
        <v>1044</v>
      </c>
      <c r="D6" s="623" t="s">
        <v>1045</v>
      </c>
      <c r="E6" s="623" t="s">
        <v>1046</v>
      </c>
    </row>
    <row r="7" spans="1:5" ht="30" customHeight="1">
      <c r="A7" s="1744"/>
      <c r="B7" s="623" t="s">
        <v>370</v>
      </c>
      <c r="C7" s="623" t="s">
        <v>1047</v>
      </c>
      <c r="D7" s="623" t="s">
        <v>1048</v>
      </c>
      <c r="E7" s="623" t="s">
        <v>439</v>
      </c>
    </row>
    <row r="8" spans="1:5" ht="30" customHeight="1">
      <c r="A8" s="1744"/>
      <c r="B8" s="623" t="s">
        <v>1049</v>
      </c>
      <c r="C8" s="623" t="s">
        <v>1050</v>
      </c>
      <c r="D8" s="623" t="s">
        <v>427</v>
      </c>
      <c r="E8" s="852" t="s">
        <v>366</v>
      </c>
    </row>
    <row r="9" spans="1:5" ht="30" customHeight="1">
      <c r="A9" s="1744"/>
      <c r="B9" s="623" t="s">
        <v>404</v>
      </c>
      <c r="C9" s="623" t="s">
        <v>441</v>
      </c>
      <c r="D9" s="623" t="s">
        <v>428</v>
      </c>
      <c r="E9" s="623" t="s">
        <v>1051</v>
      </c>
    </row>
    <row r="10" spans="1:5" ht="30" customHeight="1">
      <c r="A10" s="1744"/>
      <c r="B10" s="623" t="s">
        <v>1052</v>
      </c>
      <c r="C10" s="623" t="s">
        <v>1053</v>
      </c>
      <c r="D10" s="623" t="s">
        <v>429</v>
      </c>
      <c r="E10" s="623" t="s">
        <v>1054</v>
      </c>
    </row>
    <row r="11" spans="1:5" ht="30" customHeight="1">
      <c r="A11" s="1744"/>
      <c r="B11" s="623" t="s">
        <v>405</v>
      </c>
      <c r="C11" s="623" t="s">
        <v>372</v>
      </c>
      <c r="D11" s="623" t="s">
        <v>431</v>
      </c>
      <c r="E11" s="623" t="s">
        <v>1055</v>
      </c>
    </row>
    <row r="12" spans="1:5" ht="30" customHeight="1">
      <c r="A12" s="1744"/>
      <c r="B12" s="623" t="s">
        <v>1056</v>
      </c>
      <c r="C12" s="623" t="s">
        <v>374</v>
      </c>
      <c r="D12" s="623" t="s">
        <v>1057</v>
      </c>
      <c r="E12" s="623" t="s">
        <v>381</v>
      </c>
    </row>
    <row r="13" spans="1:5" ht="30" customHeight="1">
      <c r="A13" s="1744"/>
      <c r="B13" s="623" t="s">
        <v>407</v>
      </c>
      <c r="C13" s="623" t="s">
        <v>375</v>
      </c>
      <c r="D13" s="623" t="s">
        <v>406</v>
      </c>
      <c r="E13" s="623" t="s">
        <v>1058</v>
      </c>
    </row>
    <row r="14" spans="1:5" ht="30" customHeight="1">
      <c r="A14" s="1744"/>
      <c r="B14" s="623" t="s">
        <v>1059</v>
      </c>
      <c r="C14" s="623" t="s">
        <v>376</v>
      </c>
      <c r="D14" s="623" t="s">
        <v>1060</v>
      </c>
      <c r="E14" s="623" t="s">
        <v>384</v>
      </c>
    </row>
    <row r="15" spans="1:5" ht="30" customHeight="1">
      <c r="A15" s="1744"/>
      <c r="B15" s="623" t="s">
        <v>1061</v>
      </c>
      <c r="C15" s="624" t="s">
        <v>1062</v>
      </c>
      <c r="D15" s="623" t="s">
        <v>385</v>
      </c>
      <c r="E15" s="623" t="s">
        <v>440</v>
      </c>
    </row>
    <row r="16" spans="1:5" ht="30" customHeight="1">
      <c r="A16" s="1744"/>
      <c r="B16" s="623" t="s">
        <v>1063</v>
      </c>
      <c r="C16" s="623" t="s">
        <v>1064</v>
      </c>
      <c r="D16" s="623" t="s">
        <v>1065</v>
      </c>
      <c r="E16" s="623" t="s">
        <v>1066</v>
      </c>
    </row>
    <row r="17" spans="1:5" ht="30" customHeight="1">
      <c r="A17" s="1744"/>
      <c r="B17" s="623" t="s">
        <v>355</v>
      </c>
      <c r="C17" s="623" t="s">
        <v>1067</v>
      </c>
      <c r="D17" s="623" t="s">
        <v>1068</v>
      </c>
      <c r="E17" s="623" t="s">
        <v>386</v>
      </c>
    </row>
    <row r="18" spans="1:5" ht="30" customHeight="1">
      <c r="A18" s="1744"/>
      <c r="B18" s="623" t="s">
        <v>408</v>
      </c>
      <c r="C18" s="623" t="s">
        <v>1069</v>
      </c>
      <c r="D18" s="623" t="s">
        <v>369</v>
      </c>
      <c r="E18" s="623" t="s">
        <v>1070</v>
      </c>
    </row>
    <row r="19" spans="1:5" ht="30" customHeight="1">
      <c r="A19" s="1744"/>
      <c r="B19" s="623" t="s">
        <v>411</v>
      </c>
      <c r="C19" s="623" t="s">
        <v>1071</v>
      </c>
      <c r="D19" s="623" t="s">
        <v>1072</v>
      </c>
      <c r="E19" s="623" t="s">
        <v>1073</v>
      </c>
    </row>
    <row r="20" spans="1:5" ht="30" customHeight="1">
      <c r="A20" s="1744"/>
      <c r="B20" s="623" t="s">
        <v>379</v>
      </c>
      <c r="C20" s="623" t="s">
        <v>647</v>
      </c>
      <c r="D20" s="623" t="s">
        <v>1074</v>
      </c>
      <c r="E20" s="623" t="s">
        <v>149</v>
      </c>
    </row>
    <row r="21" spans="1:5" ht="30" customHeight="1">
      <c r="A21" s="1744"/>
      <c r="B21" s="623" t="s">
        <v>409</v>
      </c>
      <c r="C21" s="623" t="s">
        <v>1075</v>
      </c>
      <c r="D21" s="623" t="s">
        <v>1076</v>
      </c>
      <c r="E21" s="623" t="s">
        <v>1077</v>
      </c>
    </row>
    <row r="22" spans="1:5" ht="30" customHeight="1">
      <c r="A22" s="1744"/>
      <c r="B22" s="623" t="s">
        <v>410</v>
      </c>
      <c r="C22" s="623" t="s">
        <v>1078</v>
      </c>
      <c r="D22" s="623" t="s">
        <v>1079</v>
      </c>
      <c r="E22" s="623" t="s">
        <v>1080</v>
      </c>
    </row>
    <row r="23" spans="1:5" ht="30" customHeight="1">
      <c r="A23" s="1744"/>
      <c r="B23" s="623" t="s">
        <v>380</v>
      </c>
      <c r="C23" s="623" t="s">
        <v>1081</v>
      </c>
      <c r="D23" s="623" t="s">
        <v>371</v>
      </c>
      <c r="E23" s="623" t="s">
        <v>1082</v>
      </c>
    </row>
    <row r="24" spans="1:5" ht="30" customHeight="1">
      <c r="A24" s="1744"/>
      <c r="B24" s="623" t="s">
        <v>382</v>
      </c>
      <c r="C24" s="623" t="s">
        <v>422</v>
      </c>
      <c r="D24" s="623" t="s">
        <v>1083</v>
      </c>
      <c r="E24" s="623" t="s">
        <v>393</v>
      </c>
    </row>
    <row r="25" spans="1:5" ht="30" customHeight="1">
      <c r="A25" s="1744"/>
      <c r="B25" s="623" t="s">
        <v>383</v>
      </c>
      <c r="C25" s="623" t="s">
        <v>1084</v>
      </c>
      <c r="D25" s="623" t="s">
        <v>435</v>
      </c>
      <c r="E25" s="623" t="s">
        <v>1085</v>
      </c>
    </row>
    <row r="26" spans="1:5" ht="30" customHeight="1">
      <c r="A26" s="1744"/>
      <c r="B26" s="623" t="s">
        <v>1086</v>
      </c>
      <c r="C26" s="623" t="s">
        <v>443</v>
      </c>
      <c r="D26" s="623" t="s">
        <v>1087</v>
      </c>
      <c r="E26" s="623" t="s">
        <v>1088</v>
      </c>
    </row>
    <row r="27" spans="1:5" ht="30" customHeight="1">
      <c r="A27" s="1744"/>
      <c r="B27" s="623" t="s">
        <v>1089</v>
      </c>
      <c r="C27" s="623" t="s">
        <v>1090</v>
      </c>
      <c r="D27" s="623" t="s">
        <v>1091</v>
      </c>
      <c r="E27" s="623" t="s">
        <v>1092</v>
      </c>
    </row>
    <row r="28" spans="1:5" ht="30" customHeight="1">
      <c r="A28" s="1744"/>
      <c r="B28" s="623" t="s">
        <v>414</v>
      </c>
      <c r="C28" s="623" t="s">
        <v>423</v>
      </c>
      <c r="D28" s="623" t="s">
        <v>1093</v>
      </c>
      <c r="E28" s="623" t="s">
        <v>395</v>
      </c>
    </row>
    <row r="29" spans="1:5" ht="30" customHeight="1">
      <c r="A29" s="1744"/>
      <c r="B29" s="623" t="s">
        <v>1094</v>
      </c>
      <c r="C29" s="623" t="s">
        <v>1095</v>
      </c>
      <c r="D29" s="623" t="s">
        <v>412</v>
      </c>
      <c r="E29" s="623" t="s">
        <v>1096</v>
      </c>
    </row>
    <row r="30" spans="1:5" ht="30" customHeight="1">
      <c r="A30" s="1743" t="s">
        <v>1039</v>
      </c>
      <c r="B30" s="623" t="s">
        <v>1097</v>
      </c>
      <c r="C30" s="623" t="s">
        <v>1098</v>
      </c>
      <c r="D30" s="623" t="s">
        <v>1099</v>
      </c>
      <c r="E30" s="623" t="s">
        <v>1100</v>
      </c>
    </row>
    <row r="31" spans="1:5" ht="30" customHeight="1">
      <c r="A31" s="1744"/>
      <c r="B31" s="623" t="s">
        <v>415</v>
      </c>
      <c r="C31" s="623" t="s">
        <v>1101</v>
      </c>
      <c r="D31" s="623" t="s">
        <v>432</v>
      </c>
      <c r="E31" s="623" t="s">
        <v>1102</v>
      </c>
    </row>
    <row r="32" spans="1:5" ht="30" customHeight="1">
      <c r="A32" s="1744"/>
      <c r="B32" s="623" t="s">
        <v>1103</v>
      </c>
      <c r="C32" s="623" t="s">
        <v>1104</v>
      </c>
      <c r="D32" s="623" t="s">
        <v>413</v>
      </c>
      <c r="E32" s="623" t="s">
        <v>1105</v>
      </c>
    </row>
    <row r="33" spans="1:5" ht="30" customHeight="1">
      <c r="A33" s="1744"/>
      <c r="B33" s="623" t="s">
        <v>387</v>
      </c>
      <c r="C33" s="625"/>
      <c r="D33" s="623" t="s">
        <v>433</v>
      </c>
      <c r="E33" s="623" t="s">
        <v>398</v>
      </c>
    </row>
    <row r="34" spans="1:5" ht="30" customHeight="1">
      <c r="A34" s="1744"/>
      <c r="B34" s="623" t="s">
        <v>419</v>
      </c>
      <c r="C34" s="625"/>
      <c r="D34" s="623" t="s">
        <v>1106</v>
      </c>
      <c r="E34" s="623" t="s">
        <v>442</v>
      </c>
    </row>
    <row r="35" spans="1:5" ht="30" customHeight="1">
      <c r="A35" s="1744"/>
      <c r="B35" s="623" t="s">
        <v>421</v>
      </c>
      <c r="C35" s="625"/>
      <c r="D35" s="623" t="s">
        <v>416</v>
      </c>
      <c r="E35" s="623" t="s">
        <v>373</v>
      </c>
    </row>
    <row r="36" spans="1:5" ht="30" customHeight="1">
      <c r="A36" s="1744"/>
      <c r="B36" s="623" t="s">
        <v>436</v>
      </c>
      <c r="C36" s="625"/>
      <c r="D36" s="623" t="s">
        <v>417</v>
      </c>
      <c r="E36" s="623" t="s">
        <v>1107</v>
      </c>
    </row>
    <row r="37" spans="1:5" ht="30" customHeight="1">
      <c r="A37" s="1744"/>
      <c r="B37" s="623" t="s">
        <v>390</v>
      </c>
      <c r="C37" s="624"/>
      <c r="D37" s="623" t="s">
        <v>1108</v>
      </c>
      <c r="E37" s="623" t="s">
        <v>1109</v>
      </c>
    </row>
    <row r="38" spans="1:5" ht="30" customHeight="1">
      <c r="A38" s="1744"/>
      <c r="B38" s="623" t="s">
        <v>1110</v>
      </c>
      <c r="C38" s="624"/>
      <c r="D38" s="623" t="s">
        <v>1111</v>
      </c>
      <c r="E38" s="852" t="s">
        <v>434</v>
      </c>
    </row>
    <row r="39" spans="1:5" ht="30" customHeight="1">
      <c r="A39" s="1744"/>
      <c r="B39" s="623" t="s">
        <v>391</v>
      </c>
      <c r="C39" s="624"/>
      <c r="D39" s="623" t="s">
        <v>1112</v>
      </c>
      <c r="E39" s="852" t="s">
        <v>388</v>
      </c>
    </row>
    <row r="40" spans="1:5" ht="30" customHeight="1">
      <c r="A40" s="1744"/>
      <c r="B40" s="623" t="s">
        <v>1113</v>
      </c>
      <c r="C40" s="624"/>
      <c r="D40" s="623" t="s">
        <v>1114</v>
      </c>
      <c r="E40" s="623" t="s">
        <v>389</v>
      </c>
    </row>
    <row r="41" spans="1:5" ht="30" customHeight="1">
      <c r="A41" s="1744"/>
      <c r="B41" s="623" t="s">
        <v>424</v>
      </c>
      <c r="C41" s="624"/>
      <c r="D41" s="623" t="s">
        <v>1115</v>
      </c>
      <c r="E41" s="623" t="s">
        <v>1116</v>
      </c>
    </row>
    <row r="42" spans="1:5" ht="30" customHeight="1">
      <c r="A42" s="1744"/>
      <c r="B42" s="623" t="s">
        <v>1117</v>
      </c>
      <c r="C42" s="624"/>
      <c r="D42" s="623" t="s">
        <v>349</v>
      </c>
      <c r="E42" s="623" t="s">
        <v>1118</v>
      </c>
    </row>
    <row r="43" spans="1:5" ht="30" customHeight="1">
      <c r="A43" s="1744"/>
      <c r="B43" s="623" t="s">
        <v>1119</v>
      </c>
      <c r="C43" s="624"/>
      <c r="D43" s="623" t="s">
        <v>1120</v>
      </c>
      <c r="E43" s="623" t="s">
        <v>1121</v>
      </c>
    </row>
    <row r="44" spans="1:5" ht="30" customHeight="1">
      <c r="A44" s="1744"/>
      <c r="B44" s="623" t="s">
        <v>1122</v>
      </c>
      <c r="C44" s="624"/>
      <c r="D44" s="623" t="s">
        <v>1123</v>
      </c>
      <c r="E44" s="623" t="s">
        <v>1124</v>
      </c>
    </row>
    <row r="45" spans="1:5" ht="30" customHeight="1">
      <c r="A45" s="1744"/>
      <c r="B45" s="623" t="s">
        <v>1125</v>
      </c>
      <c r="C45" s="624"/>
      <c r="D45" s="623" t="s">
        <v>1126</v>
      </c>
      <c r="E45" s="623" t="s">
        <v>1127</v>
      </c>
    </row>
    <row r="46" spans="1:5" ht="30" customHeight="1">
      <c r="A46" s="1744"/>
      <c r="B46" s="623" t="s">
        <v>392</v>
      </c>
      <c r="C46" s="624"/>
      <c r="D46" s="623" t="s">
        <v>418</v>
      </c>
      <c r="E46" s="623" t="s">
        <v>1128</v>
      </c>
    </row>
    <row r="47" spans="1:5" ht="30" customHeight="1">
      <c r="A47" s="1744"/>
      <c r="B47" s="623" t="s">
        <v>425</v>
      </c>
      <c r="C47" s="624"/>
      <c r="D47" s="623" t="s">
        <v>1129</v>
      </c>
      <c r="E47" s="623" t="s">
        <v>1130</v>
      </c>
    </row>
    <row r="48" spans="1:5" ht="30" customHeight="1">
      <c r="A48" s="1744"/>
      <c r="B48" s="623" t="s">
        <v>394</v>
      </c>
      <c r="C48" s="624"/>
      <c r="D48" s="623" t="s">
        <v>420</v>
      </c>
      <c r="E48" s="623" t="s">
        <v>1131</v>
      </c>
    </row>
    <row r="49" spans="1:5" ht="30" customHeight="1">
      <c r="A49" s="1744"/>
      <c r="B49" s="623" t="s">
        <v>1132</v>
      </c>
      <c r="C49" s="624"/>
      <c r="D49" s="623" t="s">
        <v>1133</v>
      </c>
      <c r="E49" s="623" t="s">
        <v>1134</v>
      </c>
    </row>
    <row r="50" spans="1:5" ht="30" customHeight="1">
      <c r="A50" s="1744"/>
      <c r="B50" s="623" t="s">
        <v>426</v>
      </c>
      <c r="C50" s="624"/>
      <c r="D50" s="623" t="s">
        <v>1135</v>
      </c>
      <c r="E50" s="623" t="s">
        <v>1136</v>
      </c>
    </row>
    <row r="51" spans="1:5" ht="30" customHeight="1">
      <c r="A51" s="1744"/>
      <c r="B51" s="623" t="s">
        <v>145</v>
      </c>
      <c r="C51" s="624"/>
      <c r="D51" s="623" t="s">
        <v>1137</v>
      </c>
      <c r="E51" s="623" t="s">
        <v>1138</v>
      </c>
    </row>
    <row r="52" spans="1:5" ht="30" customHeight="1">
      <c r="A52" s="1744"/>
      <c r="B52" s="623" t="s">
        <v>1139</v>
      </c>
      <c r="C52" s="624"/>
      <c r="D52" s="623" t="s">
        <v>1140</v>
      </c>
      <c r="E52" s="623" t="s">
        <v>437</v>
      </c>
    </row>
    <row r="53" spans="1:5" ht="30" customHeight="1">
      <c r="A53" s="1744"/>
      <c r="B53" s="623" t="s">
        <v>396</v>
      </c>
      <c r="C53" s="624"/>
      <c r="D53" s="623" t="s">
        <v>1140</v>
      </c>
      <c r="E53" s="623" t="s">
        <v>399</v>
      </c>
    </row>
    <row r="54" spans="1:5" ht="30" customHeight="1">
      <c r="A54" s="1744"/>
      <c r="B54" s="623" t="s">
        <v>1141</v>
      </c>
      <c r="C54" s="624"/>
      <c r="D54" s="623" t="s">
        <v>1142</v>
      </c>
      <c r="E54" s="623" t="s">
        <v>1143</v>
      </c>
    </row>
    <row r="55" spans="1:5" ht="30" customHeight="1">
      <c r="A55" s="1744"/>
      <c r="B55" s="623" t="s">
        <v>1144</v>
      </c>
      <c r="C55" s="624"/>
      <c r="D55" s="623" t="s">
        <v>1145</v>
      </c>
      <c r="E55" s="623" t="s">
        <v>1146</v>
      </c>
    </row>
    <row r="56" spans="1:5" ht="30" customHeight="1">
      <c r="A56" s="626"/>
      <c r="B56" s="623" t="s">
        <v>1147</v>
      </c>
      <c r="C56" s="624"/>
      <c r="D56" s="623" t="s">
        <v>1148</v>
      </c>
      <c r="E56" s="623" t="s">
        <v>1149</v>
      </c>
    </row>
    <row r="57" spans="1:5" ht="30" customHeight="1">
      <c r="A57" s="626"/>
      <c r="B57" s="623" t="s">
        <v>1150</v>
      </c>
      <c r="C57" s="624"/>
      <c r="D57" s="623" t="s">
        <v>1151</v>
      </c>
      <c r="E57" s="623" t="s">
        <v>1152</v>
      </c>
    </row>
    <row r="58" spans="1:5" ht="30" customHeight="1">
      <c r="A58" s="1743" t="s">
        <v>1039</v>
      </c>
      <c r="B58" s="623" t="s">
        <v>1153</v>
      </c>
      <c r="C58" s="624"/>
      <c r="D58" s="623" t="s">
        <v>1154</v>
      </c>
      <c r="E58" s="623" t="s">
        <v>1155</v>
      </c>
    </row>
    <row r="59" spans="1:5" ht="30" customHeight="1">
      <c r="A59" s="1744"/>
      <c r="B59" s="623" t="s">
        <v>1156</v>
      </c>
      <c r="C59" s="624"/>
      <c r="D59" s="623" t="s">
        <v>1157</v>
      </c>
      <c r="E59" s="623" t="s">
        <v>1158</v>
      </c>
    </row>
    <row r="60" spans="1:5" ht="30" customHeight="1">
      <c r="A60" s="1744"/>
      <c r="B60" s="623" t="s">
        <v>1159</v>
      </c>
      <c r="C60" s="624"/>
      <c r="D60" s="623" t="s">
        <v>1160</v>
      </c>
      <c r="E60" s="623" t="s">
        <v>1161</v>
      </c>
    </row>
    <row r="61" spans="1:5" ht="30" customHeight="1">
      <c r="A61" s="1744"/>
      <c r="B61" s="623" t="s">
        <v>1162</v>
      </c>
      <c r="C61" s="624"/>
      <c r="D61" s="623" t="s">
        <v>1163</v>
      </c>
      <c r="E61" s="623" t="s">
        <v>1164</v>
      </c>
    </row>
    <row r="62" spans="1:5" ht="30" customHeight="1">
      <c r="A62" s="1744"/>
      <c r="B62" s="623" t="s">
        <v>1165</v>
      </c>
      <c r="C62" s="624"/>
      <c r="D62" s="623" t="s">
        <v>1166</v>
      </c>
      <c r="E62" s="623" t="s">
        <v>1167</v>
      </c>
    </row>
    <row r="63" spans="1:5" ht="30" customHeight="1">
      <c r="A63" s="1744"/>
      <c r="B63" s="623" t="s">
        <v>1168</v>
      </c>
      <c r="C63" s="624"/>
      <c r="D63" s="623" t="s">
        <v>1169</v>
      </c>
      <c r="E63" s="623" t="s">
        <v>1170</v>
      </c>
    </row>
    <row r="64" spans="1:5" ht="30" customHeight="1">
      <c r="A64" s="1744"/>
      <c r="B64" s="623" t="s">
        <v>1171</v>
      </c>
      <c r="C64" s="624"/>
      <c r="D64" s="623" t="s">
        <v>1172</v>
      </c>
      <c r="E64" s="623" t="s">
        <v>400</v>
      </c>
    </row>
    <row r="65" spans="1:5" ht="30" customHeight="1">
      <c r="A65" s="1744"/>
      <c r="B65" s="623" t="s">
        <v>1173</v>
      </c>
      <c r="C65" s="624"/>
      <c r="D65" s="623" t="s">
        <v>377</v>
      </c>
      <c r="E65" s="623" t="s">
        <v>1174</v>
      </c>
    </row>
    <row r="66" spans="1:5" ht="30" customHeight="1">
      <c r="A66" s="1744"/>
      <c r="B66" s="623" t="s">
        <v>430</v>
      </c>
      <c r="C66" s="624"/>
      <c r="D66" s="623" t="s">
        <v>1175</v>
      </c>
      <c r="E66" s="623" t="s">
        <v>401</v>
      </c>
    </row>
    <row r="67" spans="1:5" ht="30" customHeight="1">
      <c r="A67" s="1744"/>
      <c r="B67" s="623" t="s">
        <v>397</v>
      </c>
      <c r="C67" s="624"/>
      <c r="D67" s="623" t="s">
        <v>1176</v>
      </c>
      <c r="E67" s="623" t="s">
        <v>1177</v>
      </c>
    </row>
    <row r="68" spans="1:5" ht="30" customHeight="1">
      <c r="A68" s="1744"/>
      <c r="B68" s="623" t="s">
        <v>1178</v>
      </c>
      <c r="C68" s="624"/>
      <c r="D68" s="623" t="s">
        <v>438</v>
      </c>
      <c r="E68" s="623" t="s">
        <v>402</v>
      </c>
    </row>
    <row r="69" spans="1:5" ht="30" customHeight="1">
      <c r="A69" s="1744"/>
      <c r="B69" s="625"/>
      <c r="C69" s="625"/>
      <c r="D69" s="625"/>
      <c r="E69" s="623" t="s">
        <v>1179</v>
      </c>
    </row>
    <row r="70" spans="1:5" ht="30" customHeight="1">
      <c r="A70" s="1744"/>
      <c r="B70" s="625"/>
      <c r="C70" s="625"/>
      <c r="D70" s="625"/>
      <c r="E70" s="623" t="s">
        <v>1180</v>
      </c>
    </row>
    <row r="71" spans="1:5" ht="30" customHeight="1">
      <c r="A71" s="1744"/>
      <c r="B71" s="625"/>
      <c r="C71" s="625"/>
      <c r="D71" s="625"/>
      <c r="E71" s="623" t="s">
        <v>1181</v>
      </c>
    </row>
    <row r="72" spans="1:5" ht="30" customHeight="1">
      <c r="A72" s="626"/>
    </row>
    <row r="73" spans="1:5">
      <c r="A73" s="626"/>
    </row>
    <row r="74" spans="1:5">
      <c r="A74" s="626"/>
    </row>
    <row r="75" spans="1:5">
      <c r="A75" s="626"/>
    </row>
    <row r="76" spans="1:5">
      <c r="A76" s="626"/>
    </row>
    <row r="77" spans="1:5">
      <c r="A77" s="626"/>
    </row>
    <row r="78" spans="1:5">
      <c r="A78" s="626"/>
    </row>
    <row r="79" spans="1:5">
      <c r="A79" s="626"/>
    </row>
    <row r="80" spans="1:5">
      <c r="A80" s="626"/>
    </row>
    <row r="81" spans="1:1">
      <c r="A81" s="626"/>
    </row>
    <row r="82" spans="1:1">
      <c r="A82" s="626"/>
    </row>
    <row r="83" spans="1:1">
      <c r="A83" s="626"/>
    </row>
  </sheetData>
  <mergeCells count="4">
    <mergeCell ref="A1:E1"/>
    <mergeCell ref="A4:A29"/>
    <mergeCell ref="A30:A55"/>
    <mergeCell ref="A58:A71"/>
  </mergeCells>
  <printOptions horizontalCentered="1"/>
  <pageMargins left="0.25" right="0.25" top="0.25" bottom="0.25" header="0.3" footer="0.3"/>
  <pageSetup paperSize="9"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F0"/>
  </sheetPr>
  <dimension ref="A1"/>
  <sheetViews>
    <sheetView view="pageBreakPreview" zoomScale="60" workbookViewId="0">
      <selection activeCell="T19" sqref="T19"/>
    </sheetView>
  </sheetViews>
  <sheetFormatPr defaultRowHeight="15"/>
  <sheetData/>
  <printOptions horizontalCentere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1CDE48DB6E140A96220C068474F97" ma:contentTypeVersion="1" ma:contentTypeDescription="Create a new document." ma:contentTypeScope="" ma:versionID="5840dd98023a9d39aae3db0c8b267c6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93F703-088D-4F97-9D36-23ED59CDC0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337935-5A80-43F2-B04C-1905263F4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CA48EB-D615-435B-80CD-8D9F3E82853D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43</vt:i4>
      </vt:variant>
    </vt:vector>
  </HeadingPairs>
  <TitlesOfParts>
    <vt:vector size="71" baseType="lpstr">
      <vt:lpstr>Index</vt:lpstr>
      <vt:lpstr>Anx-I</vt:lpstr>
      <vt:lpstr>102(a)</vt:lpstr>
      <vt:lpstr>102(b</vt:lpstr>
      <vt:lpstr>102(b)</vt:lpstr>
      <vt:lpstr>Anx II - III</vt:lpstr>
      <vt:lpstr>Anx IV</vt:lpstr>
      <vt:lpstr>Anx V</vt:lpstr>
      <vt:lpstr>Departmental Budget</vt:lpstr>
      <vt:lpstr>School Anx VI</vt:lpstr>
      <vt:lpstr>106</vt:lpstr>
      <vt:lpstr>106(a)</vt:lpstr>
      <vt:lpstr>106(b)School</vt:lpstr>
      <vt:lpstr>105(a)</vt:lpstr>
      <vt:lpstr>107</vt:lpstr>
      <vt:lpstr>107 (a)</vt:lpstr>
      <vt:lpstr>107(b)</vt:lpstr>
      <vt:lpstr>107 (c)</vt:lpstr>
      <vt:lpstr>107(d)</vt:lpstr>
      <vt:lpstr>107(e)</vt:lpstr>
      <vt:lpstr>108</vt:lpstr>
      <vt:lpstr>109</vt:lpstr>
      <vt:lpstr>110</vt:lpstr>
      <vt:lpstr>111</vt:lpstr>
      <vt:lpstr>112</vt:lpstr>
      <vt:lpstr>113</vt:lpstr>
      <vt:lpstr>Subject List</vt:lpstr>
      <vt:lpstr>PQF</vt:lpstr>
      <vt:lpstr>'102(a)'!Print_Area</vt:lpstr>
      <vt:lpstr>'102(b)'!Print_Area</vt:lpstr>
      <vt:lpstr>'105(a)'!Print_Area</vt:lpstr>
      <vt:lpstr>'106'!Print_Area</vt:lpstr>
      <vt:lpstr>'106(a)'!Print_Area</vt:lpstr>
      <vt:lpstr>'106(b)School'!Print_Area</vt:lpstr>
      <vt:lpstr>'107'!Print_Area</vt:lpstr>
      <vt:lpstr>'107 (a)'!Print_Area</vt:lpstr>
      <vt:lpstr>'107 (c)'!Print_Area</vt:lpstr>
      <vt:lpstr>'107(b)'!Print_Area</vt:lpstr>
      <vt:lpstr>'107(d)'!Print_Area</vt:lpstr>
      <vt:lpstr>'107(e)'!Print_Area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'Anx II - III'!Print_Area</vt:lpstr>
      <vt:lpstr>'Anx IV'!Print_Area</vt:lpstr>
      <vt:lpstr>'Anx V'!Print_Area</vt:lpstr>
      <vt:lpstr>'Anx-I'!Print_Area</vt:lpstr>
      <vt:lpstr>'Departmental Budget'!Print_Area</vt:lpstr>
      <vt:lpstr>Index!Print_Area</vt:lpstr>
      <vt:lpstr>'Subject List'!Print_Area</vt:lpstr>
      <vt:lpstr>'102(b)'!Print_Titles</vt:lpstr>
      <vt:lpstr>'105(a)'!Print_Titles</vt:lpstr>
      <vt:lpstr>'106(a)'!Print_Titles</vt:lpstr>
      <vt:lpstr>'106(b)School'!Print_Titles</vt:lpstr>
      <vt:lpstr>'107'!Print_Titles</vt:lpstr>
      <vt:lpstr>'107 (a)'!Print_Titles</vt:lpstr>
      <vt:lpstr>'107 (c)'!Print_Titles</vt:lpstr>
      <vt:lpstr>'107(b)'!Print_Titles</vt:lpstr>
      <vt:lpstr>'107(d)'!Print_Titles</vt:lpstr>
      <vt:lpstr>'107(e)'!Print_Titles</vt:lpstr>
      <vt:lpstr>'112'!Print_Titles</vt:lpstr>
      <vt:lpstr>'113'!Print_Titles</vt:lpstr>
      <vt:lpstr>'Anx II - III'!Print_Titles</vt:lpstr>
      <vt:lpstr>'Anx IV'!Print_Titles</vt:lpstr>
      <vt:lpstr>'Anx V'!Print_Titles</vt:lpstr>
      <vt:lpstr>'Departmental Budget'!Print_Titles</vt:lpstr>
      <vt:lpstr>Index!Print_Titles</vt:lpstr>
      <vt:lpstr>'Subject List'!Print_Titles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 Mahmood</dc:creator>
  <cp:lastModifiedBy>Altaf Khan</cp:lastModifiedBy>
  <cp:lastPrinted>2021-09-07T09:57:08Z</cp:lastPrinted>
  <dcterms:created xsi:type="dcterms:W3CDTF">2013-10-23T03:18:59Z</dcterms:created>
  <dcterms:modified xsi:type="dcterms:W3CDTF">2021-11-29T07:29:00Z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0x010100E931CDE48DB6E140A96220C068474F97</vt:lpwstr>
  </property>
</Properties>
</file>